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725"/>
  <workbookPr showInkAnnotation="0" autoCompressPictures="0"/>
  <bookViews>
    <workbookView xWindow="13560" yWindow="0" windowWidth="28240" windowHeight="21340" activeTab="2"/>
  </bookViews>
  <sheets>
    <sheet name="COVER" sheetId="3" r:id="rId1"/>
    <sheet name="IRDIFS" sheetId="1" r:id="rId2"/>
    <sheet name="IRDIFS_EXT" sheetId="6" r:id="rId3"/>
    <sheet name="IRDIS DBI Y23" sheetId="16" r:id="rId4"/>
    <sheet name="IRDIS DBI J23" sheetId="17" r:id="rId5"/>
    <sheet name="IRDIS BY" sheetId="12" r:id="rId6"/>
    <sheet name="IRDIS BJ" sheetId="14" r:id="rId7"/>
    <sheet name="IRDIS BH" sheetId="10" r:id="rId8"/>
    <sheet name="IRDIS BKs" sheetId="11" r:id="rId9"/>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10" i="11" l="1"/>
  <c r="U10" i="11"/>
  <c r="V10" i="11"/>
  <c r="M11" i="11"/>
  <c r="U11" i="11"/>
  <c r="V11" i="11"/>
  <c r="M12" i="11"/>
  <c r="U12" i="11"/>
  <c r="V12" i="11"/>
  <c r="M13" i="11"/>
  <c r="U13" i="11"/>
  <c r="V13" i="11"/>
  <c r="M14" i="11"/>
  <c r="U14" i="11"/>
  <c r="V14" i="11"/>
  <c r="M15" i="11"/>
  <c r="U15" i="11"/>
  <c r="V15" i="11"/>
  <c r="M9" i="11"/>
  <c r="U9" i="11"/>
  <c r="V9" i="11"/>
  <c r="M21" i="10"/>
  <c r="U21" i="10"/>
  <c r="V21" i="10"/>
  <c r="M22" i="10"/>
  <c r="U22" i="10"/>
  <c r="V22" i="10"/>
  <c r="M23" i="10"/>
  <c r="U23" i="10"/>
  <c r="V23" i="10"/>
  <c r="M24" i="10"/>
  <c r="U24" i="10"/>
  <c r="V24" i="10"/>
  <c r="M25" i="10"/>
  <c r="U25" i="10"/>
  <c r="V25" i="10"/>
  <c r="M26" i="10"/>
  <c r="U26" i="10"/>
  <c r="V26" i="10"/>
  <c r="M20" i="10"/>
  <c r="U20" i="10"/>
  <c r="V20" i="10"/>
  <c r="M10" i="10"/>
  <c r="U10" i="10"/>
  <c r="V10" i="10"/>
  <c r="M11" i="10"/>
  <c r="U11" i="10"/>
  <c r="V11" i="10"/>
  <c r="M12" i="10"/>
  <c r="U12" i="10"/>
  <c r="V12" i="10"/>
  <c r="M13" i="10"/>
  <c r="U13" i="10"/>
  <c r="V13" i="10"/>
  <c r="M14" i="10"/>
  <c r="U14" i="10"/>
  <c r="V14" i="10"/>
  <c r="M15" i="10"/>
  <c r="U15" i="10"/>
  <c r="V15" i="10"/>
  <c r="M9" i="10"/>
  <c r="U9" i="10"/>
  <c r="V9" i="10"/>
  <c r="M10" i="14"/>
  <c r="U10" i="14"/>
  <c r="V10" i="14"/>
  <c r="M11" i="14"/>
  <c r="U11" i="14"/>
  <c r="V11" i="14"/>
  <c r="M12" i="14"/>
  <c r="U12" i="14"/>
  <c r="V12" i="14"/>
  <c r="M13" i="14"/>
  <c r="U13" i="14"/>
  <c r="V13" i="14"/>
  <c r="M14" i="14"/>
  <c r="U14" i="14"/>
  <c r="V14" i="14"/>
  <c r="M15" i="14"/>
  <c r="U15" i="14"/>
  <c r="V15" i="14"/>
  <c r="M9" i="14"/>
  <c r="U9" i="14"/>
  <c r="V9" i="14"/>
  <c r="M10" i="12"/>
  <c r="U10" i="12"/>
  <c r="V10" i="12"/>
  <c r="M11" i="12"/>
  <c r="U11" i="12"/>
  <c r="V11" i="12"/>
  <c r="M12" i="12"/>
  <c r="U12" i="12"/>
  <c r="V12" i="12"/>
  <c r="M13" i="12"/>
  <c r="U13" i="12"/>
  <c r="V13" i="12"/>
  <c r="M14" i="12"/>
  <c r="U14" i="12"/>
  <c r="V14" i="12"/>
  <c r="M15" i="12"/>
  <c r="U15" i="12"/>
  <c r="V15" i="12"/>
  <c r="M9" i="12"/>
  <c r="U9" i="12"/>
  <c r="V9" i="12"/>
  <c r="V24" i="6"/>
  <c r="V25" i="6"/>
  <c r="V26" i="6"/>
  <c r="V27" i="6"/>
  <c r="V28" i="6"/>
  <c r="V29" i="6"/>
  <c r="V23" i="6"/>
  <c r="V35" i="1"/>
  <c r="V36" i="1"/>
  <c r="V37" i="1"/>
  <c r="V38" i="1"/>
  <c r="V39" i="1"/>
  <c r="V40" i="1"/>
  <c r="V34" i="1"/>
  <c r="V24" i="1"/>
  <c r="V25" i="1"/>
  <c r="V26" i="1"/>
  <c r="V27" i="1"/>
  <c r="V28" i="1"/>
  <c r="V29" i="1"/>
  <c r="V23" i="1"/>
  <c r="V9" i="1"/>
  <c r="V10" i="1"/>
  <c r="V11" i="1"/>
  <c r="V12" i="1"/>
  <c r="V13" i="1"/>
  <c r="V8" i="1"/>
  <c r="M10" i="17"/>
  <c r="U10" i="17"/>
  <c r="V10" i="17"/>
  <c r="M11" i="17"/>
  <c r="U11" i="17"/>
  <c r="V11" i="17"/>
  <c r="M12" i="17"/>
  <c r="U12" i="17"/>
  <c r="V12" i="17"/>
  <c r="M13" i="17"/>
  <c r="U13" i="17"/>
  <c r="V13" i="17"/>
  <c r="M14" i="17"/>
  <c r="U14" i="17"/>
  <c r="V14" i="17"/>
  <c r="M15" i="17"/>
  <c r="U15" i="17"/>
  <c r="V15" i="17"/>
  <c r="M9" i="17"/>
  <c r="U9" i="17"/>
  <c r="V9" i="17"/>
  <c r="M10" i="16"/>
  <c r="U10" i="16"/>
  <c r="V10" i="16"/>
  <c r="M11" i="16"/>
  <c r="U11" i="16"/>
  <c r="V11" i="16"/>
  <c r="M12" i="16"/>
  <c r="U12" i="16"/>
  <c r="V12" i="16"/>
  <c r="M13" i="16"/>
  <c r="U13" i="16"/>
  <c r="V13" i="16"/>
  <c r="M14" i="16"/>
  <c r="U14" i="16"/>
  <c r="V14" i="16"/>
  <c r="M15" i="16"/>
  <c r="U15" i="16"/>
  <c r="V15" i="16"/>
  <c r="M9" i="16"/>
  <c r="U9" i="16"/>
  <c r="V9" i="16"/>
  <c r="T9" i="16"/>
  <c r="T10" i="16"/>
  <c r="T11" i="16"/>
  <c r="T12" i="16"/>
  <c r="T13" i="16"/>
  <c r="T14" i="16"/>
  <c r="T15" i="16"/>
  <c r="J29" i="17"/>
  <c r="J28" i="17"/>
  <c r="J27" i="17"/>
  <c r="J26" i="17"/>
  <c r="W15" i="17"/>
  <c r="X15" i="17"/>
  <c r="T15" i="17"/>
  <c r="N15" i="17"/>
  <c r="P15" i="17"/>
  <c r="R15" i="17"/>
  <c r="Q15" i="17"/>
  <c r="O15" i="17"/>
  <c r="I5" i="17"/>
  <c r="L15" i="17"/>
  <c r="K15" i="17"/>
  <c r="J15" i="17"/>
  <c r="I15" i="17"/>
  <c r="H5" i="17"/>
  <c r="H15" i="17"/>
  <c r="G15" i="17"/>
  <c r="F15" i="17"/>
  <c r="E15" i="17"/>
  <c r="W14" i="17"/>
  <c r="X14" i="17"/>
  <c r="T14" i="17"/>
  <c r="N14" i="17"/>
  <c r="P14" i="17"/>
  <c r="R14" i="17"/>
  <c r="Q14" i="17"/>
  <c r="O14" i="17"/>
  <c r="L14" i="17"/>
  <c r="K14" i="17"/>
  <c r="J14" i="17"/>
  <c r="I14" i="17"/>
  <c r="H14" i="17"/>
  <c r="G14" i="17"/>
  <c r="F14" i="17"/>
  <c r="E14" i="17"/>
  <c r="W13" i="17"/>
  <c r="X13" i="17"/>
  <c r="T13" i="17"/>
  <c r="N13" i="17"/>
  <c r="P13" i="17"/>
  <c r="R13" i="17"/>
  <c r="Q13" i="17"/>
  <c r="O13" i="17"/>
  <c r="L13" i="17"/>
  <c r="K13" i="17"/>
  <c r="J13" i="17"/>
  <c r="I13" i="17"/>
  <c r="H13" i="17"/>
  <c r="G13" i="17"/>
  <c r="F13" i="17"/>
  <c r="E13" i="17"/>
  <c r="W12" i="17"/>
  <c r="X12" i="17"/>
  <c r="T12" i="17"/>
  <c r="N12" i="17"/>
  <c r="P12" i="17"/>
  <c r="R12" i="17"/>
  <c r="Q12" i="17"/>
  <c r="O12" i="17"/>
  <c r="L12" i="17"/>
  <c r="K12" i="17"/>
  <c r="J12" i="17"/>
  <c r="I12" i="17"/>
  <c r="H12" i="17"/>
  <c r="G12" i="17"/>
  <c r="F12" i="17"/>
  <c r="E12" i="17"/>
  <c r="T11" i="17"/>
  <c r="W11" i="17"/>
  <c r="X11" i="17"/>
  <c r="N11" i="17"/>
  <c r="P11" i="17"/>
  <c r="R11" i="17"/>
  <c r="Q11" i="17"/>
  <c r="O11" i="17"/>
  <c r="L11" i="17"/>
  <c r="K11" i="17"/>
  <c r="J11" i="17"/>
  <c r="I11" i="17"/>
  <c r="H11" i="17"/>
  <c r="G11" i="17"/>
  <c r="F11" i="17"/>
  <c r="E11" i="17"/>
  <c r="T10" i="17"/>
  <c r="W10" i="17"/>
  <c r="X10" i="17"/>
  <c r="N10" i="17"/>
  <c r="P10" i="17"/>
  <c r="R10" i="17"/>
  <c r="Q10" i="17"/>
  <c r="O10" i="17"/>
  <c r="L10" i="17"/>
  <c r="K10" i="17"/>
  <c r="J10" i="17"/>
  <c r="I10" i="17"/>
  <c r="H10" i="17"/>
  <c r="G10" i="17"/>
  <c r="F10" i="17"/>
  <c r="E10" i="17"/>
  <c r="T9" i="17"/>
  <c r="W9" i="17"/>
  <c r="X9" i="17"/>
  <c r="N9" i="17"/>
  <c r="P9" i="17"/>
  <c r="R9" i="17"/>
  <c r="Q9" i="17"/>
  <c r="O9" i="17"/>
  <c r="L9" i="17"/>
  <c r="K9" i="17"/>
  <c r="J9" i="17"/>
  <c r="I9" i="17"/>
  <c r="H9" i="17"/>
  <c r="G9" i="17"/>
  <c r="F9" i="17"/>
  <c r="E9" i="17"/>
  <c r="J29" i="16"/>
  <c r="J28" i="16"/>
  <c r="J27" i="16"/>
  <c r="J26" i="16"/>
  <c r="W15" i="16"/>
  <c r="X15" i="16"/>
  <c r="N15" i="16"/>
  <c r="P15" i="16"/>
  <c r="R15" i="16"/>
  <c r="Q15" i="16"/>
  <c r="O15" i="16"/>
  <c r="I5" i="16"/>
  <c r="L15" i="16"/>
  <c r="K15" i="16"/>
  <c r="J15" i="16"/>
  <c r="I15" i="16"/>
  <c r="H5" i="16"/>
  <c r="H15" i="16"/>
  <c r="G15" i="16"/>
  <c r="F15" i="16"/>
  <c r="E15" i="16"/>
  <c r="W14" i="16"/>
  <c r="X14" i="16"/>
  <c r="N14" i="16"/>
  <c r="P14" i="16"/>
  <c r="R14" i="16"/>
  <c r="Q14" i="16"/>
  <c r="O14" i="16"/>
  <c r="L14" i="16"/>
  <c r="K14" i="16"/>
  <c r="J14" i="16"/>
  <c r="I14" i="16"/>
  <c r="H14" i="16"/>
  <c r="G14" i="16"/>
  <c r="F14" i="16"/>
  <c r="E14" i="16"/>
  <c r="W13" i="16"/>
  <c r="X13" i="16"/>
  <c r="N13" i="16"/>
  <c r="P13" i="16"/>
  <c r="R13" i="16"/>
  <c r="Q13" i="16"/>
  <c r="O13" i="16"/>
  <c r="L13" i="16"/>
  <c r="K13" i="16"/>
  <c r="J13" i="16"/>
  <c r="I13" i="16"/>
  <c r="H13" i="16"/>
  <c r="G13" i="16"/>
  <c r="F13" i="16"/>
  <c r="E13" i="16"/>
  <c r="W12" i="16"/>
  <c r="X12" i="16"/>
  <c r="N12" i="16"/>
  <c r="P12" i="16"/>
  <c r="R12" i="16"/>
  <c r="Q12" i="16"/>
  <c r="O12" i="16"/>
  <c r="L12" i="16"/>
  <c r="K12" i="16"/>
  <c r="J12" i="16"/>
  <c r="I12" i="16"/>
  <c r="H12" i="16"/>
  <c r="G12" i="16"/>
  <c r="F12" i="16"/>
  <c r="E12" i="16"/>
  <c r="W11" i="16"/>
  <c r="X11" i="16"/>
  <c r="N11" i="16"/>
  <c r="P11" i="16"/>
  <c r="R11" i="16"/>
  <c r="Q11" i="16"/>
  <c r="O11" i="16"/>
  <c r="L11" i="16"/>
  <c r="K11" i="16"/>
  <c r="J11" i="16"/>
  <c r="I11" i="16"/>
  <c r="H11" i="16"/>
  <c r="G11" i="16"/>
  <c r="F11" i="16"/>
  <c r="E11" i="16"/>
  <c r="W10" i="16"/>
  <c r="X10" i="16"/>
  <c r="N10" i="16"/>
  <c r="P10" i="16"/>
  <c r="R10" i="16"/>
  <c r="Q10" i="16"/>
  <c r="O10" i="16"/>
  <c r="L10" i="16"/>
  <c r="K10" i="16"/>
  <c r="J10" i="16"/>
  <c r="I10" i="16"/>
  <c r="H10" i="16"/>
  <c r="G10" i="16"/>
  <c r="F10" i="16"/>
  <c r="E10" i="16"/>
  <c r="W9" i="16"/>
  <c r="X9" i="16"/>
  <c r="N9" i="16"/>
  <c r="P9" i="16"/>
  <c r="R9" i="16"/>
  <c r="Q9" i="16"/>
  <c r="O9" i="16"/>
  <c r="L9" i="16"/>
  <c r="K9" i="16"/>
  <c r="J9" i="16"/>
  <c r="I9" i="16"/>
  <c r="H9" i="16"/>
  <c r="G9" i="16"/>
  <c r="F9" i="16"/>
  <c r="E9" i="16"/>
  <c r="M36" i="1"/>
  <c r="T36" i="1"/>
  <c r="U36" i="1"/>
  <c r="W36" i="1"/>
  <c r="X36" i="1"/>
  <c r="M37" i="1"/>
  <c r="T37" i="1"/>
  <c r="U37" i="1"/>
  <c r="W37" i="1"/>
  <c r="X37" i="1"/>
  <c r="M38" i="1"/>
  <c r="T38" i="1"/>
  <c r="U38" i="1"/>
  <c r="W38" i="1"/>
  <c r="X38" i="1"/>
  <c r="M39" i="1"/>
  <c r="T39" i="1"/>
  <c r="U39" i="1"/>
  <c r="W39" i="1"/>
  <c r="X39" i="1"/>
  <c r="M40" i="1"/>
  <c r="T40" i="1"/>
  <c r="U40" i="1"/>
  <c r="W40" i="1"/>
  <c r="X40" i="1"/>
  <c r="M25" i="6"/>
  <c r="T25" i="6"/>
  <c r="U25" i="6"/>
  <c r="W25" i="6"/>
  <c r="X25" i="6"/>
  <c r="M26" i="6"/>
  <c r="T26" i="6"/>
  <c r="U26" i="6"/>
  <c r="W26" i="6"/>
  <c r="X26" i="6"/>
  <c r="M27" i="6"/>
  <c r="T27" i="6"/>
  <c r="U27" i="6"/>
  <c r="W27" i="6"/>
  <c r="X27" i="6"/>
  <c r="M28" i="6"/>
  <c r="T28" i="6"/>
  <c r="U28" i="6"/>
  <c r="W28" i="6"/>
  <c r="X28" i="6"/>
  <c r="M29" i="6"/>
  <c r="T29" i="6"/>
  <c r="U29" i="6"/>
  <c r="W29" i="6"/>
  <c r="X29" i="6"/>
  <c r="J29" i="14"/>
  <c r="J28" i="14"/>
  <c r="J27" i="14"/>
  <c r="J26" i="14"/>
  <c r="W15" i="14"/>
  <c r="X15" i="14"/>
  <c r="T15" i="14"/>
  <c r="N15" i="14"/>
  <c r="P15" i="14"/>
  <c r="R15" i="14"/>
  <c r="Q15" i="14"/>
  <c r="O15" i="14"/>
  <c r="I5" i="14"/>
  <c r="L15" i="14"/>
  <c r="K15" i="14"/>
  <c r="J15" i="14"/>
  <c r="I15" i="14"/>
  <c r="H5" i="14"/>
  <c r="H15" i="14"/>
  <c r="G15" i="14"/>
  <c r="F15" i="14"/>
  <c r="E15" i="14"/>
  <c r="W14" i="14"/>
  <c r="X14" i="14"/>
  <c r="T14" i="14"/>
  <c r="N14" i="14"/>
  <c r="P14" i="14"/>
  <c r="R14" i="14"/>
  <c r="Q14" i="14"/>
  <c r="O14" i="14"/>
  <c r="L14" i="14"/>
  <c r="K14" i="14"/>
  <c r="J14" i="14"/>
  <c r="I14" i="14"/>
  <c r="H14" i="14"/>
  <c r="G14" i="14"/>
  <c r="F14" i="14"/>
  <c r="E14" i="14"/>
  <c r="W13" i="14"/>
  <c r="X13" i="14"/>
  <c r="T13" i="14"/>
  <c r="N13" i="14"/>
  <c r="P13" i="14"/>
  <c r="R13" i="14"/>
  <c r="Q13" i="14"/>
  <c r="O13" i="14"/>
  <c r="L13" i="14"/>
  <c r="K13" i="14"/>
  <c r="J13" i="14"/>
  <c r="I13" i="14"/>
  <c r="H13" i="14"/>
  <c r="G13" i="14"/>
  <c r="F13" i="14"/>
  <c r="E13" i="14"/>
  <c r="W12" i="14"/>
  <c r="X12" i="14"/>
  <c r="T12" i="14"/>
  <c r="N12" i="14"/>
  <c r="P12" i="14"/>
  <c r="R12" i="14"/>
  <c r="Q12" i="14"/>
  <c r="O12" i="14"/>
  <c r="L12" i="14"/>
  <c r="K12" i="14"/>
  <c r="J12" i="14"/>
  <c r="I12" i="14"/>
  <c r="H12" i="14"/>
  <c r="G12" i="14"/>
  <c r="F12" i="14"/>
  <c r="E12" i="14"/>
  <c r="T11" i="14"/>
  <c r="W11" i="14"/>
  <c r="X11" i="14"/>
  <c r="N11" i="14"/>
  <c r="P11" i="14"/>
  <c r="R11" i="14"/>
  <c r="Q11" i="14"/>
  <c r="O11" i="14"/>
  <c r="L11" i="14"/>
  <c r="K11" i="14"/>
  <c r="J11" i="14"/>
  <c r="I11" i="14"/>
  <c r="H11" i="14"/>
  <c r="G11" i="14"/>
  <c r="F11" i="14"/>
  <c r="E11" i="14"/>
  <c r="T10" i="14"/>
  <c r="W10" i="14"/>
  <c r="X10" i="14"/>
  <c r="N10" i="14"/>
  <c r="P10" i="14"/>
  <c r="R10" i="14"/>
  <c r="Q10" i="14"/>
  <c r="O10" i="14"/>
  <c r="L10" i="14"/>
  <c r="K10" i="14"/>
  <c r="J10" i="14"/>
  <c r="I10" i="14"/>
  <c r="H10" i="14"/>
  <c r="G10" i="14"/>
  <c r="F10" i="14"/>
  <c r="E10" i="14"/>
  <c r="T9" i="14"/>
  <c r="W9" i="14"/>
  <c r="X9" i="14"/>
  <c r="N9" i="14"/>
  <c r="P9" i="14"/>
  <c r="R9" i="14"/>
  <c r="Q9" i="14"/>
  <c r="O9" i="14"/>
  <c r="L9" i="14"/>
  <c r="K9" i="14"/>
  <c r="J9" i="14"/>
  <c r="I9" i="14"/>
  <c r="H9" i="14"/>
  <c r="G9" i="14"/>
  <c r="F9" i="14"/>
  <c r="E9" i="14"/>
  <c r="J26" i="12"/>
  <c r="J27" i="12"/>
  <c r="J28" i="12"/>
  <c r="J29" i="12"/>
  <c r="W15" i="12"/>
  <c r="X15" i="12"/>
  <c r="T15" i="12"/>
  <c r="N15" i="12"/>
  <c r="P15" i="12"/>
  <c r="R15" i="12"/>
  <c r="Q15" i="12"/>
  <c r="O15" i="12"/>
  <c r="I5" i="12"/>
  <c r="L15" i="12"/>
  <c r="K15" i="12"/>
  <c r="J15" i="12"/>
  <c r="I15" i="12"/>
  <c r="H5" i="12"/>
  <c r="H15" i="12"/>
  <c r="G15" i="12"/>
  <c r="F15" i="12"/>
  <c r="E15" i="12"/>
  <c r="W14" i="12"/>
  <c r="X14" i="12"/>
  <c r="T14" i="12"/>
  <c r="N14" i="12"/>
  <c r="P14" i="12"/>
  <c r="R14" i="12"/>
  <c r="Q14" i="12"/>
  <c r="O14" i="12"/>
  <c r="L14" i="12"/>
  <c r="K14" i="12"/>
  <c r="J14" i="12"/>
  <c r="I14" i="12"/>
  <c r="H14" i="12"/>
  <c r="G14" i="12"/>
  <c r="F14" i="12"/>
  <c r="E14" i="12"/>
  <c r="W13" i="12"/>
  <c r="X13" i="12"/>
  <c r="T13" i="12"/>
  <c r="N13" i="12"/>
  <c r="P13" i="12"/>
  <c r="R13" i="12"/>
  <c r="Q13" i="12"/>
  <c r="O13" i="12"/>
  <c r="L13" i="12"/>
  <c r="K13" i="12"/>
  <c r="J13" i="12"/>
  <c r="I13" i="12"/>
  <c r="H13" i="12"/>
  <c r="G13" i="12"/>
  <c r="F13" i="12"/>
  <c r="E13" i="12"/>
  <c r="W12" i="12"/>
  <c r="X12" i="12"/>
  <c r="T12" i="12"/>
  <c r="N12" i="12"/>
  <c r="P12" i="12"/>
  <c r="R12" i="12"/>
  <c r="Q12" i="12"/>
  <c r="O12" i="12"/>
  <c r="L12" i="12"/>
  <c r="K12" i="12"/>
  <c r="J12" i="12"/>
  <c r="I12" i="12"/>
  <c r="H12" i="12"/>
  <c r="G12" i="12"/>
  <c r="F12" i="12"/>
  <c r="E12" i="12"/>
  <c r="T11" i="12"/>
  <c r="W11" i="12"/>
  <c r="X11" i="12"/>
  <c r="N11" i="12"/>
  <c r="P11" i="12"/>
  <c r="R11" i="12"/>
  <c r="Q11" i="12"/>
  <c r="O11" i="12"/>
  <c r="L11" i="12"/>
  <c r="K11" i="12"/>
  <c r="J11" i="12"/>
  <c r="I11" i="12"/>
  <c r="H11" i="12"/>
  <c r="G11" i="12"/>
  <c r="F11" i="12"/>
  <c r="E11" i="12"/>
  <c r="T10" i="12"/>
  <c r="W10" i="12"/>
  <c r="X10" i="12"/>
  <c r="N10" i="12"/>
  <c r="P10" i="12"/>
  <c r="R10" i="12"/>
  <c r="Q10" i="12"/>
  <c r="O10" i="12"/>
  <c r="L10" i="12"/>
  <c r="K10" i="12"/>
  <c r="J10" i="12"/>
  <c r="I10" i="12"/>
  <c r="H10" i="12"/>
  <c r="G10" i="12"/>
  <c r="F10" i="12"/>
  <c r="E10" i="12"/>
  <c r="T9" i="12"/>
  <c r="W9" i="12"/>
  <c r="X9" i="12"/>
  <c r="N9" i="12"/>
  <c r="P9" i="12"/>
  <c r="R9" i="12"/>
  <c r="Q9" i="12"/>
  <c r="O9" i="12"/>
  <c r="L9" i="12"/>
  <c r="K9" i="12"/>
  <c r="J9" i="12"/>
  <c r="I9" i="12"/>
  <c r="H9" i="12"/>
  <c r="G9" i="12"/>
  <c r="F9" i="12"/>
  <c r="E9" i="12"/>
  <c r="J29" i="11"/>
  <c r="J28" i="11"/>
  <c r="J27" i="11"/>
  <c r="J26" i="11"/>
  <c r="I5" i="11"/>
  <c r="H5" i="11"/>
  <c r="W15" i="11"/>
  <c r="X15" i="11"/>
  <c r="T15" i="11"/>
  <c r="N15" i="11"/>
  <c r="P15" i="11"/>
  <c r="R15" i="11"/>
  <c r="Q15" i="11"/>
  <c r="O15" i="11"/>
  <c r="L15" i="11"/>
  <c r="K15" i="11"/>
  <c r="J15" i="11"/>
  <c r="I15" i="11"/>
  <c r="H15" i="11"/>
  <c r="G15" i="11"/>
  <c r="F15" i="11"/>
  <c r="E15" i="11"/>
  <c r="W14" i="11"/>
  <c r="X14" i="11"/>
  <c r="T14" i="11"/>
  <c r="N14" i="11"/>
  <c r="P14" i="11"/>
  <c r="R14" i="11"/>
  <c r="Q14" i="11"/>
  <c r="O14" i="11"/>
  <c r="L14" i="11"/>
  <c r="K14" i="11"/>
  <c r="J14" i="11"/>
  <c r="I14" i="11"/>
  <c r="H14" i="11"/>
  <c r="G14" i="11"/>
  <c r="F14" i="11"/>
  <c r="E14" i="11"/>
  <c r="W13" i="11"/>
  <c r="X13" i="11"/>
  <c r="T13" i="11"/>
  <c r="N13" i="11"/>
  <c r="P13" i="11"/>
  <c r="R13" i="11"/>
  <c r="Q13" i="11"/>
  <c r="O13" i="11"/>
  <c r="L13" i="11"/>
  <c r="K13" i="11"/>
  <c r="J13" i="11"/>
  <c r="I13" i="11"/>
  <c r="H13" i="11"/>
  <c r="G13" i="11"/>
  <c r="F13" i="11"/>
  <c r="E13" i="11"/>
  <c r="W12" i="11"/>
  <c r="X12" i="11"/>
  <c r="T12" i="11"/>
  <c r="N12" i="11"/>
  <c r="P12" i="11"/>
  <c r="R12" i="11"/>
  <c r="Q12" i="11"/>
  <c r="O12" i="11"/>
  <c r="L12" i="11"/>
  <c r="K12" i="11"/>
  <c r="J12" i="11"/>
  <c r="I12" i="11"/>
  <c r="H12" i="11"/>
  <c r="G12" i="11"/>
  <c r="F12" i="11"/>
  <c r="E12" i="11"/>
  <c r="T11" i="11"/>
  <c r="W11" i="11"/>
  <c r="X11" i="11"/>
  <c r="N11" i="11"/>
  <c r="P11" i="11"/>
  <c r="R11" i="11"/>
  <c r="Q11" i="11"/>
  <c r="O11" i="11"/>
  <c r="L11" i="11"/>
  <c r="K11" i="11"/>
  <c r="J11" i="11"/>
  <c r="I11" i="11"/>
  <c r="H11" i="11"/>
  <c r="G11" i="11"/>
  <c r="F11" i="11"/>
  <c r="E11" i="11"/>
  <c r="T10" i="11"/>
  <c r="W10" i="11"/>
  <c r="X10" i="11"/>
  <c r="N10" i="11"/>
  <c r="P10" i="11"/>
  <c r="R10" i="11"/>
  <c r="Q10" i="11"/>
  <c r="O10" i="11"/>
  <c r="L10" i="11"/>
  <c r="K10" i="11"/>
  <c r="J10" i="11"/>
  <c r="I10" i="11"/>
  <c r="H10" i="11"/>
  <c r="G10" i="11"/>
  <c r="F10" i="11"/>
  <c r="E10" i="11"/>
  <c r="T9" i="11"/>
  <c r="W9" i="11"/>
  <c r="X9" i="11"/>
  <c r="N9" i="11"/>
  <c r="P9" i="11"/>
  <c r="R9" i="11"/>
  <c r="Q9" i="11"/>
  <c r="O9" i="11"/>
  <c r="L9" i="11"/>
  <c r="K9" i="11"/>
  <c r="J9" i="11"/>
  <c r="I9" i="11"/>
  <c r="H9" i="11"/>
  <c r="G9" i="11"/>
  <c r="F9" i="11"/>
  <c r="E9" i="11"/>
  <c r="J38" i="10"/>
  <c r="K38" i="10"/>
  <c r="J39" i="10"/>
  <c r="K39" i="10"/>
  <c r="J40" i="10"/>
  <c r="K40" i="10"/>
  <c r="J37" i="10"/>
  <c r="K37" i="10"/>
  <c r="W26" i="10"/>
  <c r="X26" i="10"/>
  <c r="T26" i="10"/>
  <c r="N26" i="10"/>
  <c r="P26" i="10"/>
  <c r="R26" i="10"/>
  <c r="Q26" i="10"/>
  <c r="O26" i="10"/>
  <c r="I5" i="10"/>
  <c r="L26" i="10"/>
  <c r="K26" i="10"/>
  <c r="J26" i="10"/>
  <c r="I26" i="10"/>
  <c r="H5" i="10"/>
  <c r="H26" i="10"/>
  <c r="G26" i="10"/>
  <c r="F26" i="10"/>
  <c r="E26" i="10"/>
  <c r="W25" i="10"/>
  <c r="X25" i="10"/>
  <c r="T25" i="10"/>
  <c r="N25" i="10"/>
  <c r="P25" i="10"/>
  <c r="R25" i="10"/>
  <c r="Q25" i="10"/>
  <c r="O25" i="10"/>
  <c r="L25" i="10"/>
  <c r="K25" i="10"/>
  <c r="J25" i="10"/>
  <c r="I25" i="10"/>
  <c r="H25" i="10"/>
  <c r="G25" i="10"/>
  <c r="F25" i="10"/>
  <c r="E25" i="10"/>
  <c r="W24" i="10"/>
  <c r="X24" i="10"/>
  <c r="T24" i="10"/>
  <c r="N24" i="10"/>
  <c r="P24" i="10"/>
  <c r="R24" i="10"/>
  <c r="Q24" i="10"/>
  <c r="O24" i="10"/>
  <c r="L24" i="10"/>
  <c r="K24" i="10"/>
  <c r="J24" i="10"/>
  <c r="I24" i="10"/>
  <c r="H24" i="10"/>
  <c r="G24" i="10"/>
  <c r="F24" i="10"/>
  <c r="E24" i="10"/>
  <c r="W23" i="10"/>
  <c r="X23" i="10"/>
  <c r="T23" i="10"/>
  <c r="N23" i="10"/>
  <c r="P23" i="10"/>
  <c r="R23" i="10"/>
  <c r="Q23" i="10"/>
  <c r="O23" i="10"/>
  <c r="L23" i="10"/>
  <c r="K23" i="10"/>
  <c r="J23" i="10"/>
  <c r="I23" i="10"/>
  <c r="H23" i="10"/>
  <c r="G23" i="10"/>
  <c r="F23" i="10"/>
  <c r="E23" i="10"/>
  <c r="T22" i="10"/>
  <c r="W22" i="10"/>
  <c r="X22" i="10"/>
  <c r="N22" i="10"/>
  <c r="P22" i="10"/>
  <c r="R22" i="10"/>
  <c r="Q22" i="10"/>
  <c r="O22" i="10"/>
  <c r="L22" i="10"/>
  <c r="K22" i="10"/>
  <c r="J22" i="10"/>
  <c r="I22" i="10"/>
  <c r="H22" i="10"/>
  <c r="G22" i="10"/>
  <c r="F22" i="10"/>
  <c r="E22" i="10"/>
  <c r="T21" i="10"/>
  <c r="W21" i="10"/>
  <c r="X21" i="10"/>
  <c r="N21" i="10"/>
  <c r="P21" i="10"/>
  <c r="R21" i="10"/>
  <c r="Q21" i="10"/>
  <c r="O21" i="10"/>
  <c r="L21" i="10"/>
  <c r="K21" i="10"/>
  <c r="J21" i="10"/>
  <c r="I21" i="10"/>
  <c r="H21" i="10"/>
  <c r="G21" i="10"/>
  <c r="F21" i="10"/>
  <c r="E21" i="10"/>
  <c r="T20" i="10"/>
  <c r="W20" i="10"/>
  <c r="X20" i="10"/>
  <c r="N20" i="10"/>
  <c r="P20" i="10"/>
  <c r="R20" i="10"/>
  <c r="Q20" i="10"/>
  <c r="O20" i="10"/>
  <c r="L20" i="10"/>
  <c r="K20" i="10"/>
  <c r="J20" i="10"/>
  <c r="I20" i="10"/>
  <c r="H20" i="10"/>
  <c r="G20" i="10"/>
  <c r="F20" i="10"/>
  <c r="E20" i="10"/>
  <c r="W15" i="10"/>
  <c r="X15" i="10"/>
  <c r="T15" i="10"/>
  <c r="N15" i="10"/>
  <c r="P15" i="10"/>
  <c r="R15" i="10"/>
  <c r="Q15" i="10"/>
  <c r="O15" i="10"/>
  <c r="L15" i="10"/>
  <c r="K15" i="10"/>
  <c r="J15" i="10"/>
  <c r="I15" i="10"/>
  <c r="H15" i="10"/>
  <c r="G15" i="10"/>
  <c r="F15" i="10"/>
  <c r="E15" i="10"/>
  <c r="W14" i="10"/>
  <c r="X14" i="10"/>
  <c r="T14" i="10"/>
  <c r="N14" i="10"/>
  <c r="P14" i="10"/>
  <c r="R14" i="10"/>
  <c r="Q14" i="10"/>
  <c r="O14" i="10"/>
  <c r="L14" i="10"/>
  <c r="K14" i="10"/>
  <c r="J14" i="10"/>
  <c r="I14" i="10"/>
  <c r="H14" i="10"/>
  <c r="G14" i="10"/>
  <c r="F14" i="10"/>
  <c r="E14" i="10"/>
  <c r="W13" i="10"/>
  <c r="X13" i="10"/>
  <c r="T13" i="10"/>
  <c r="N13" i="10"/>
  <c r="P13" i="10"/>
  <c r="R13" i="10"/>
  <c r="Q13" i="10"/>
  <c r="O13" i="10"/>
  <c r="L13" i="10"/>
  <c r="K13" i="10"/>
  <c r="J13" i="10"/>
  <c r="I13" i="10"/>
  <c r="H13" i="10"/>
  <c r="G13" i="10"/>
  <c r="F13" i="10"/>
  <c r="E13" i="10"/>
  <c r="W12" i="10"/>
  <c r="X12" i="10"/>
  <c r="T12" i="10"/>
  <c r="N12" i="10"/>
  <c r="P12" i="10"/>
  <c r="R12" i="10"/>
  <c r="Q12" i="10"/>
  <c r="O12" i="10"/>
  <c r="L12" i="10"/>
  <c r="K12" i="10"/>
  <c r="J12" i="10"/>
  <c r="I12" i="10"/>
  <c r="H12" i="10"/>
  <c r="G12" i="10"/>
  <c r="F12" i="10"/>
  <c r="E12" i="10"/>
  <c r="T11" i="10"/>
  <c r="W11" i="10"/>
  <c r="X11" i="10"/>
  <c r="N11" i="10"/>
  <c r="P11" i="10"/>
  <c r="R11" i="10"/>
  <c r="Q11" i="10"/>
  <c r="O11" i="10"/>
  <c r="L11" i="10"/>
  <c r="K11" i="10"/>
  <c r="J11" i="10"/>
  <c r="I11" i="10"/>
  <c r="H11" i="10"/>
  <c r="G11" i="10"/>
  <c r="F11" i="10"/>
  <c r="E11" i="10"/>
  <c r="T10" i="10"/>
  <c r="W10" i="10"/>
  <c r="X10" i="10"/>
  <c r="N10" i="10"/>
  <c r="P10" i="10"/>
  <c r="R10" i="10"/>
  <c r="Q10" i="10"/>
  <c r="O10" i="10"/>
  <c r="L10" i="10"/>
  <c r="K10" i="10"/>
  <c r="J10" i="10"/>
  <c r="I10" i="10"/>
  <c r="H10" i="10"/>
  <c r="G10" i="10"/>
  <c r="F10" i="10"/>
  <c r="E10" i="10"/>
  <c r="T9" i="10"/>
  <c r="W9" i="10"/>
  <c r="X9" i="10"/>
  <c r="N9" i="10"/>
  <c r="P9" i="10"/>
  <c r="R9" i="10"/>
  <c r="Q9" i="10"/>
  <c r="O9" i="10"/>
  <c r="L9" i="10"/>
  <c r="K9" i="10"/>
  <c r="J9" i="10"/>
  <c r="I9" i="10"/>
  <c r="H9" i="10"/>
  <c r="G9" i="10"/>
  <c r="F9" i="10"/>
  <c r="E9" i="10"/>
  <c r="M9" i="1"/>
  <c r="T9" i="1"/>
  <c r="W9" i="1"/>
  <c r="P9" i="1"/>
  <c r="Q9" i="1"/>
  <c r="N9" i="1"/>
  <c r="R9" i="1"/>
  <c r="M10" i="1"/>
  <c r="U10" i="1"/>
  <c r="W10" i="1"/>
  <c r="P10" i="1"/>
  <c r="Q10" i="1"/>
  <c r="N10" i="1"/>
  <c r="R10" i="1"/>
  <c r="M11" i="1"/>
  <c r="U11" i="1"/>
  <c r="W11" i="1"/>
  <c r="P11" i="1"/>
  <c r="Q11" i="1"/>
  <c r="N11" i="1"/>
  <c r="R11" i="1"/>
  <c r="M12" i="1"/>
  <c r="U12" i="1"/>
  <c r="W12" i="1"/>
  <c r="P12" i="1"/>
  <c r="Q12" i="1"/>
  <c r="N12" i="1"/>
  <c r="R12" i="1"/>
  <c r="M13" i="1"/>
  <c r="U13" i="1"/>
  <c r="W13" i="1"/>
  <c r="P13" i="1"/>
  <c r="Q13" i="1"/>
  <c r="N13" i="1"/>
  <c r="R13" i="1"/>
  <c r="M8" i="1"/>
  <c r="T8" i="1"/>
  <c r="W8" i="1"/>
  <c r="P8" i="1"/>
  <c r="N8" i="1"/>
  <c r="R8" i="1"/>
  <c r="Q8" i="1"/>
  <c r="U9" i="1"/>
  <c r="T10" i="1"/>
  <c r="T11" i="1"/>
  <c r="T12" i="1"/>
  <c r="T13" i="1"/>
  <c r="U8" i="1"/>
  <c r="I5" i="6"/>
  <c r="I5" i="1"/>
  <c r="I19" i="6"/>
  <c r="I19" i="1"/>
  <c r="H19" i="6"/>
  <c r="E24" i="6"/>
  <c r="J49" i="6"/>
  <c r="F24" i="6"/>
  <c r="J50" i="6"/>
  <c r="G24" i="6"/>
  <c r="J51" i="6"/>
  <c r="H24" i="6"/>
  <c r="I24" i="6"/>
  <c r="J24" i="6"/>
  <c r="K24" i="6"/>
  <c r="L24" i="6"/>
  <c r="E25" i="6"/>
  <c r="F25" i="6"/>
  <c r="G25" i="6"/>
  <c r="H25" i="6"/>
  <c r="I25" i="6"/>
  <c r="J25" i="6"/>
  <c r="K25" i="6"/>
  <c r="L25" i="6"/>
  <c r="E26" i="6"/>
  <c r="F26" i="6"/>
  <c r="G26" i="6"/>
  <c r="H26" i="6"/>
  <c r="I26" i="6"/>
  <c r="J26" i="6"/>
  <c r="K26" i="6"/>
  <c r="L26" i="6"/>
  <c r="E27" i="6"/>
  <c r="F27" i="6"/>
  <c r="G27" i="6"/>
  <c r="H27" i="6"/>
  <c r="I27" i="6"/>
  <c r="J27" i="6"/>
  <c r="K27" i="6"/>
  <c r="L27" i="6"/>
  <c r="E28" i="6"/>
  <c r="F28" i="6"/>
  <c r="G28" i="6"/>
  <c r="H28" i="6"/>
  <c r="I28" i="6"/>
  <c r="J28" i="6"/>
  <c r="K28" i="6"/>
  <c r="L28" i="6"/>
  <c r="E29" i="6"/>
  <c r="F29" i="6"/>
  <c r="G29" i="6"/>
  <c r="H29" i="6"/>
  <c r="I29" i="6"/>
  <c r="J29" i="6"/>
  <c r="K29" i="6"/>
  <c r="L29" i="6"/>
  <c r="L23" i="6"/>
  <c r="K23" i="6"/>
  <c r="J23" i="6"/>
  <c r="I23" i="6"/>
  <c r="H23" i="6"/>
  <c r="G23" i="6"/>
  <c r="F23" i="6"/>
  <c r="E23" i="6"/>
  <c r="H5" i="6"/>
  <c r="E9" i="6"/>
  <c r="F9" i="6"/>
  <c r="G9" i="6"/>
  <c r="H9" i="6"/>
  <c r="I9" i="6"/>
  <c r="J9" i="6"/>
  <c r="K9" i="6"/>
  <c r="L9" i="6"/>
  <c r="E10" i="6"/>
  <c r="F10" i="6"/>
  <c r="G10" i="6"/>
  <c r="H10" i="6"/>
  <c r="I10" i="6"/>
  <c r="J10" i="6"/>
  <c r="K10" i="6"/>
  <c r="L10" i="6"/>
  <c r="E11" i="6"/>
  <c r="F11" i="6"/>
  <c r="G11" i="6"/>
  <c r="H11" i="6"/>
  <c r="I11" i="6"/>
  <c r="J11" i="6"/>
  <c r="K11" i="6"/>
  <c r="L11" i="6"/>
  <c r="E12" i="6"/>
  <c r="F12" i="6"/>
  <c r="G12" i="6"/>
  <c r="H12" i="6"/>
  <c r="I12" i="6"/>
  <c r="J12" i="6"/>
  <c r="K12" i="6"/>
  <c r="L12" i="6"/>
  <c r="E13" i="6"/>
  <c r="F13" i="6"/>
  <c r="G13" i="6"/>
  <c r="H13" i="6"/>
  <c r="I13" i="6"/>
  <c r="J13" i="6"/>
  <c r="K13" i="6"/>
  <c r="L13" i="6"/>
  <c r="E8" i="6"/>
  <c r="F8" i="6"/>
  <c r="G8" i="6"/>
  <c r="H8" i="6"/>
  <c r="I8" i="6"/>
  <c r="J8" i="6"/>
  <c r="K8" i="6"/>
  <c r="L8" i="6"/>
  <c r="H19" i="1"/>
  <c r="J59" i="1"/>
  <c r="K59" i="1"/>
  <c r="E35" i="1"/>
  <c r="J60" i="1"/>
  <c r="K60" i="1"/>
  <c r="F35" i="1"/>
  <c r="J61" i="1"/>
  <c r="K61" i="1"/>
  <c r="G35" i="1"/>
  <c r="J62" i="1"/>
  <c r="K62" i="1"/>
  <c r="H35" i="1"/>
  <c r="I35" i="1"/>
  <c r="J35" i="1"/>
  <c r="K35" i="1"/>
  <c r="L35" i="1"/>
  <c r="E36" i="1"/>
  <c r="F36" i="1"/>
  <c r="G36" i="1"/>
  <c r="H36" i="1"/>
  <c r="I36" i="1"/>
  <c r="J36" i="1"/>
  <c r="K36" i="1"/>
  <c r="L36" i="1"/>
  <c r="E37" i="1"/>
  <c r="F37" i="1"/>
  <c r="G37" i="1"/>
  <c r="H37" i="1"/>
  <c r="I37" i="1"/>
  <c r="J37" i="1"/>
  <c r="K37" i="1"/>
  <c r="L37" i="1"/>
  <c r="E38" i="1"/>
  <c r="F38" i="1"/>
  <c r="G38" i="1"/>
  <c r="H38" i="1"/>
  <c r="I38" i="1"/>
  <c r="J38" i="1"/>
  <c r="K38" i="1"/>
  <c r="L38" i="1"/>
  <c r="E39" i="1"/>
  <c r="F39" i="1"/>
  <c r="G39" i="1"/>
  <c r="H39" i="1"/>
  <c r="I39" i="1"/>
  <c r="J39" i="1"/>
  <c r="K39" i="1"/>
  <c r="L39" i="1"/>
  <c r="E40" i="1"/>
  <c r="F40" i="1"/>
  <c r="G40" i="1"/>
  <c r="H40" i="1"/>
  <c r="I40" i="1"/>
  <c r="J40" i="1"/>
  <c r="K40" i="1"/>
  <c r="L40" i="1"/>
  <c r="L34" i="1"/>
  <c r="K34" i="1"/>
  <c r="J34" i="1"/>
  <c r="I34" i="1"/>
  <c r="H34" i="1"/>
  <c r="G34" i="1"/>
  <c r="F34" i="1"/>
  <c r="E34" i="1"/>
  <c r="E24" i="1"/>
  <c r="F24" i="1"/>
  <c r="G24" i="1"/>
  <c r="H24" i="1"/>
  <c r="I24" i="1"/>
  <c r="J24" i="1"/>
  <c r="K24" i="1"/>
  <c r="L24" i="1"/>
  <c r="E25" i="1"/>
  <c r="F25" i="1"/>
  <c r="G25" i="1"/>
  <c r="H25" i="1"/>
  <c r="I25" i="1"/>
  <c r="J25" i="1"/>
  <c r="K25" i="1"/>
  <c r="L25" i="1"/>
  <c r="E26" i="1"/>
  <c r="F26" i="1"/>
  <c r="G26" i="1"/>
  <c r="H26" i="1"/>
  <c r="I26" i="1"/>
  <c r="J26" i="1"/>
  <c r="K26" i="1"/>
  <c r="L26" i="1"/>
  <c r="E27" i="1"/>
  <c r="F27" i="1"/>
  <c r="G27" i="1"/>
  <c r="H27" i="1"/>
  <c r="I27" i="1"/>
  <c r="J27" i="1"/>
  <c r="K27" i="1"/>
  <c r="L27" i="1"/>
  <c r="E28" i="1"/>
  <c r="F28" i="1"/>
  <c r="G28" i="1"/>
  <c r="H28" i="1"/>
  <c r="I28" i="1"/>
  <c r="J28" i="1"/>
  <c r="K28" i="1"/>
  <c r="L28" i="1"/>
  <c r="E29" i="1"/>
  <c r="F29" i="1"/>
  <c r="G29" i="1"/>
  <c r="H29" i="1"/>
  <c r="I29" i="1"/>
  <c r="J29" i="1"/>
  <c r="K29" i="1"/>
  <c r="L29" i="1"/>
  <c r="L23" i="1"/>
  <c r="K23" i="1"/>
  <c r="J23" i="1"/>
  <c r="I23" i="1"/>
  <c r="H23" i="1"/>
  <c r="G23" i="1"/>
  <c r="F23" i="1"/>
  <c r="E23" i="1"/>
  <c r="H5" i="1"/>
  <c r="L13" i="1"/>
  <c r="K13" i="1"/>
  <c r="J13" i="1"/>
  <c r="I13" i="1"/>
  <c r="H13" i="1"/>
  <c r="G13" i="1"/>
  <c r="F13" i="1"/>
  <c r="E13" i="1"/>
  <c r="L12" i="1"/>
  <c r="K12" i="1"/>
  <c r="J12" i="1"/>
  <c r="I12" i="1"/>
  <c r="H12" i="1"/>
  <c r="G12" i="1"/>
  <c r="F12" i="1"/>
  <c r="E12" i="1"/>
  <c r="L11" i="1"/>
  <c r="K11" i="1"/>
  <c r="J11" i="1"/>
  <c r="I11" i="1"/>
  <c r="H11" i="1"/>
  <c r="G11" i="1"/>
  <c r="F11" i="1"/>
  <c r="E11" i="1"/>
  <c r="L10" i="1"/>
  <c r="K10" i="1"/>
  <c r="J10" i="1"/>
  <c r="I10" i="1"/>
  <c r="H10" i="1"/>
  <c r="G10" i="1"/>
  <c r="F10" i="1"/>
  <c r="E10" i="1"/>
  <c r="L9" i="1"/>
  <c r="K9" i="1"/>
  <c r="J9" i="1"/>
  <c r="I9" i="1"/>
  <c r="H9" i="1"/>
  <c r="G9" i="1"/>
  <c r="F9" i="1"/>
  <c r="E9" i="1"/>
  <c r="L8" i="1"/>
  <c r="K8" i="1"/>
  <c r="J8" i="1"/>
  <c r="I8" i="1"/>
  <c r="H8" i="1"/>
  <c r="G8" i="1"/>
  <c r="F8" i="1"/>
  <c r="E8" i="1"/>
  <c r="J48" i="6"/>
  <c r="N29" i="6"/>
  <c r="P29" i="6"/>
  <c r="R29" i="6"/>
  <c r="Q29" i="6"/>
  <c r="O29" i="6"/>
  <c r="N28" i="6"/>
  <c r="P28" i="6"/>
  <c r="R28" i="6"/>
  <c r="Q28" i="6"/>
  <c r="O28" i="6"/>
  <c r="N27" i="6"/>
  <c r="P27" i="6"/>
  <c r="R27" i="6"/>
  <c r="Q27" i="6"/>
  <c r="O27" i="6"/>
  <c r="N26" i="6"/>
  <c r="P26" i="6"/>
  <c r="R26" i="6"/>
  <c r="Q26" i="6"/>
  <c r="O26" i="6"/>
  <c r="N25" i="6"/>
  <c r="P25" i="6"/>
  <c r="R25" i="6"/>
  <c r="Q25" i="6"/>
  <c r="O25" i="6"/>
  <c r="M24" i="6"/>
  <c r="T24" i="6"/>
  <c r="W24" i="6"/>
  <c r="X24" i="6"/>
  <c r="U24" i="6"/>
  <c r="N24" i="6"/>
  <c r="P24" i="6"/>
  <c r="R24" i="6"/>
  <c r="Q24" i="6"/>
  <c r="O24" i="6"/>
  <c r="M23" i="6"/>
  <c r="T23" i="6"/>
  <c r="W23" i="6"/>
  <c r="X23" i="6"/>
  <c r="U23" i="6"/>
  <c r="N23" i="6"/>
  <c r="P23" i="6"/>
  <c r="R23" i="6"/>
  <c r="Q23" i="6"/>
  <c r="O23" i="6"/>
  <c r="M13" i="6"/>
  <c r="N13" i="6"/>
  <c r="O13" i="6"/>
  <c r="M12" i="6"/>
  <c r="N12" i="6"/>
  <c r="O12" i="6"/>
  <c r="M11" i="6"/>
  <c r="N11" i="6"/>
  <c r="O11" i="6"/>
  <c r="M10" i="6"/>
  <c r="N10" i="6"/>
  <c r="O10" i="6"/>
  <c r="M9" i="6"/>
  <c r="N9" i="6"/>
  <c r="O9" i="6"/>
  <c r="M8" i="6"/>
  <c r="N8" i="6"/>
  <c r="O8" i="6"/>
  <c r="O9" i="1"/>
  <c r="O10" i="1"/>
  <c r="O11" i="1"/>
  <c r="O12" i="1"/>
  <c r="O13" i="1"/>
  <c r="O8" i="1"/>
  <c r="M23" i="1"/>
  <c r="T23" i="1"/>
  <c r="W23" i="1"/>
  <c r="X23" i="1"/>
  <c r="P23" i="1"/>
  <c r="Q23" i="1"/>
  <c r="M24" i="1"/>
  <c r="T24" i="1"/>
  <c r="W24" i="1"/>
  <c r="X24" i="1"/>
  <c r="P24" i="1"/>
  <c r="Q24" i="1"/>
  <c r="M25" i="1"/>
  <c r="T25" i="1"/>
  <c r="U25" i="1"/>
  <c r="W25" i="1"/>
  <c r="X25" i="1"/>
  <c r="P25" i="1"/>
  <c r="Q25" i="1"/>
  <c r="M26" i="1"/>
  <c r="U26" i="1"/>
  <c r="W26" i="1"/>
  <c r="X26" i="1"/>
  <c r="P26" i="1"/>
  <c r="Q26" i="1"/>
  <c r="M27" i="1"/>
  <c r="U27" i="1"/>
  <c r="W27" i="1"/>
  <c r="X27" i="1"/>
  <c r="P27" i="1"/>
  <c r="Q27" i="1"/>
  <c r="M28" i="1"/>
  <c r="U28" i="1"/>
  <c r="W28" i="1"/>
  <c r="X28" i="1"/>
  <c r="P28" i="1"/>
  <c r="Q28" i="1"/>
  <c r="M29" i="1"/>
  <c r="U29" i="1"/>
  <c r="W29" i="1"/>
  <c r="X29" i="1"/>
  <c r="P29" i="1"/>
  <c r="Q29" i="1"/>
  <c r="M34" i="1"/>
  <c r="T34" i="1"/>
  <c r="W34" i="1"/>
  <c r="X34" i="1"/>
  <c r="P34" i="1"/>
  <c r="Q34" i="1"/>
  <c r="M35" i="1"/>
  <c r="T35" i="1"/>
  <c r="W35" i="1"/>
  <c r="X35" i="1"/>
  <c r="P35" i="1"/>
  <c r="Q35" i="1"/>
  <c r="P36" i="1"/>
  <c r="Q36" i="1"/>
  <c r="P37" i="1"/>
  <c r="Q37" i="1"/>
  <c r="P38" i="1"/>
  <c r="Q38" i="1"/>
  <c r="P39" i="1"/>
  <c r="Q39" i="1"/>
  <c r="P40" i="1"/>
  <c r="Q40" i="1"/>
  <c r="N34" i="1"/>
  <c r="O34" i="1"/>
  <c r="N35" i="1"/>
  <c r="O35" i="1"/>
  <c r="N36" i="1"/>
  <c r="O36" i="1"/>
  <c r="N37" i="1"/>
  <c r="O37" i="1"/>
  <c r="N38" i="1"/>
  <c r="O38" i="1"/>
  <c r="N39" i="1"/>
  <c r="O39" i="1"/>
  <c r="N40" i="1"/>
  <c r="O40" i="1"/>
  <c r="N24" i="1"/>
  <c r="O24" i="1"/>
  <c r="N25" i="1"/>
  <c r="O25" i="1"/>
  <c r="N26" i="1"/>
  <c r="O26" i="1"/>
  <c r="N27" i="1"/>
  <c r="O27" i="1"/>
  <c r="N28" i="1"/>
  <c r="O28" i="1"/>
  <c r="N29" i="1"/>
  <c r="O29" i="1"/>
  <c r="N23" i="1"/>
  <c r="O23" i="1"/>
  <c r="R34" i="1"/>
  <c r="U34" i="1"/>
  <c r="R35" i="1"/>
  <c r="U35" i="1"/>
  <c r="R36" i="1"/>
  <c r="R37" i="1"/>
  <c r="R38" i="1"/>
  <c r="R39" i="1"/>
  <c r="R40" i="1"/>
  <c r="R25" i="1"/>
  <c r="R26" i="1"/>
  <c r="T26" i="1"/>
  <c r="R27" i="1"/>
  <c r="T27" i="1"/>
  <c r="R28" i="1"/>
  <c r="T28" i="1"/>
  <c r="R29" i="1"/>
  <c r="T29" i="1"/>
  <c r="U24" i="1"/>
  <c r="U23" i="1"/>
  <c r="R24" i="1"/>
  <c r="R23" i="1"/>
</calcChain>
</file>

<file path=xl/sharedStrings.xml><?xml version="1.0" encoding="utf-8"?>
<sst xmlns="http://schemas.openxmlformats.org/spreadsheetml/2006/main" count="808" uniqueCount="114">
  <si>
    <t>DB_H23</t>
    <phoneticPr fontId="7" type="noConversion"/>
  </si>
  <si>
    <t>DB_NDH23</t>
    <phoneticPr fontId="7" type="noConversion"/>
  </si>
  <si>
    <r>
      <t>ND</t>
    </r>
    <r>
      <rPr>
        <b/>
        <sz val="12"/>
        <color indexed="8"/>
        <rFont val="Calibri"/>
        <family val="2"/>
      </rPr>
      <t>0</t>
    </r>
    <phoneticPr fontId="7" type="noConversion"/>
  </si>
  <si>
    <t xml:space="preserve"> </t>
    <phoneticPr fontId="7" type="noConversion"/>
  </si>
  <si>
    <t>IRDIS ND</t>
    <phoneticPr fontId="7" type="noConversion"/>
  </si>
  <si>
    <t>ND0.0</t>
  </si>
  <si>
    <t>B_ND-H</t>
  </si>
  <si>
    <t>D_H23</t>
  </si>
  <si>
    <t>B_H</t>
  </si>
  <si>
    <t xml:space="preserve"> </t>
    <phoneticPr fontId="7" type="noConversion"/>
  </si>
  <si>
    <t xml:space="preserve"> </t>
    <phoneticPr fontId="7" type="noConversion"/>
  </si>
  <si>
    <t>OPEN</t>
  </si>
  <si>
    <t>J Mag =</t>
  </si>
  <si>
    <t>NO CORON</t>
  </si>
  <si>
    <t>NDIT</t>
  </si>
  <si>
    <t>COUNTS/S</t>
  </si>
  <si>
    <t>ND1.0</t>
  </si>
  <si>
    <t>ND2.0</t>
  </si>
  <si>
    <t>ND3.5</t>
  </si>
  <si>
    <t>SATURATION</t>
  </si>
  <si>
    <t>DIT(s)</t>
  </si>
  <si>
    <t>CORON</t>
  </si>
  <si>
    <t>ND1</t>
  </si>
  <si>
    <t>ND2</t>
  </si>
  <si>
    <t>TITLE:</t>
  </si>
  <si>
    <t>USE</t>
  </si>
  <si>
    <t>Author</t>
  </si>
  <si>
    <t>INPUTS</t>
  </si>
  <si>
    <t>TEXP</t>
  </si>
  <si>
    <t>NEXP</t>
  </si>
  <si>
    <t>The J magnitude of the star</t>
  </si>
  <si>
    <t xml:space="preserve">The total exposure time </t>
  </si>
  <si>
    <t>The number of exposure</t>
  </si>
  <si>
    <t>OUTPUTS</t>
  </si>
  <si>
    <t>FLUX TEMPLATE COUNTS/S, DIT, NDIT</t>
  </si>
  <si>
    <t>NO CORONOGRAPH</t>
  </si>
  <si>
    <t>CORONOGRAPH</t>
  </si>
  <si>
    <t>PEAK</t>
  </si>
  <si>
    <t>GENERAL INPUTS</t>
  </si>
  <si>
    <t>CTS</t>
  </si>
  <si>
    <t>s</t>
  </si>
  <si>
    <t>IFS SECT. INPUT</t>
  </si>
  <si>
    <t>J Mag</t>
  </si>
  <si>
    <t>IRDIS SECT INPUT</t>
  </si>
  <si>
    <t>H Mag</t>
  </si>
  <si>
    <t>The H Mag of the star</t>
  </si>
  <si>
    <t>2014-10-10: Written</t>
  </si>
  <si>
    <t>COUNTS LEVEL</t>
  </si>
  <si>
    <t>In the following two sheet there are indicated in tabular format the value of Count/s in function of the DIT value and the set up. It is not an ETC. It could be used in order to have an idea about the  DIT, NDIT and the number of exposures that it is necessarfy to use in order to observe with IFS a star of magnitude J given. The value are based on Reference 2 and 3. Select the Instrument mode (IRDIFS or IRDIFS_EXT) written in the name of the sheet. Once selected the sheet in the general input section you can inserted the total exposure time (B2) and the number of Exposure. Eventually you can put the J magnitude of the star in the IFS section (E5) and the correspondant H magnitude in the IRDIS section (E26). In Both table there are the evaluated COUNTS value for each set up. A message of saturation (SAT) will appeare when the evaluated count value exceedes the saturation threshold per pixel that is defined as 20000 Counts/pix.</t>
  </si>
  <si>
    <t>Double</t>
  </si>
  <si>
    <t>DoubleRdRstRd</t>
  </si>
  <si>
    <t>SWAP_overhead</t>
  </si>
  <si>
    <t>Nondest</t>
  </si>
  <si>
    <t>Dither_overhead</t>
  </si>
  <si>
    <t>Expose_overhead</t>
  </si>
  <si>
    <t>Tstart</t>
  </si>
  <si>
    <t>Treset</t>
  </si>
  <si>
    <t>ROT</t>
  </si>
  <si>
    <t>NDSKIP</t>
  </si>
  <si>
    <t>NDITSKIP</t>
  </si>
  <si>
    <t>DITDELAY</t>
  </si>
  <si>
    <t>+NEXP</t>
  </si>
  <si>
    <t>+DITHER</t>
  </si>
  <si>
    <t>Efficiency</t>
  </si>
  <si>
    <t>2015-03-12: modifs according to RGr email today.  Plus corrections of IRDIFS-EXT coro formulae (J-L 15-20)</t>
  </si>
  <si>
    <t>updated ND filter values for IRDIS &amp; IFS</t>
  </si>
  <si>
    <t>calculation of ND attenuation uses the smallest attenuation factor</t>
  </si>
  <si>
    <t>changed calculation of IRDIS peak value from fixed number to zero point</t>
  </si>
  <si>
    <t>updated IRDIS corono attenuation value</t>
  </si>
  <si>
    <t>R. Claudi, M. Langlois, A. Vigan</t>
  </si>
  <si>
    <t>IRDIFS DIT TABLE</t>
  </si>
  <si>
    <t>IFS</t>
  </si>
  <si>
    <t>IRDIS</t>
  </si>
  <si>
    <t>corono attenuation</t>
  </si>
  <si>
    <t>Texp</t>
  </si>
  <si>
    <r>
      <t>Nexp</t>
    </r>
    <r>
      <rPr>
        <b/>
        <sz val="12"/>
        <color indexed="8"/>
        <rFont val="Calibri"/>
        <family val="2"/>
      </rPr>
      <t xml:space="preserve"> IFS</t>
    </r>
  </si>
  <si>
    <r>
      <t>Nexp</t>
    </r>
    <r>
      <rPr>
        <b/>
        <sz val="12"/>
        <color indexed="8"/>
        <rFont val="Calibri"/>
        <family val="2"/>
      </rPr>
      <t xml:space="preserve"> IRDIS</t>
    </r>
  </si>
  <si>
    <t>Dither IRDIS</t>
  </si>
  <si>
    <t>CLEAR</t>
  </si>
  <si>
    <t>All</t>
  </si>
  <si>
    <t>H Mag =</t>
  </si>
  <si>
    <t>Cube</t>
  </si>
  <si>
    <t>Exp time</t>
  </si>
  <si>
    <t>Exec time</t>
  </si>
  <si>
    <t>IRDIS detector overheads</t>
  </si>
  <si>
    <t>IRDIS instrumental overheads</t>
  </si>
  <si>
    <t>DO NOT MODIFY VALUES BELOW THIS LINE</t>
  </si>
  <si>
    <t>DB_H23</t>
  </si>
  <si>
    <t>DB_ND-H23</t>
  </si>
  <si>
    <t>Modify only things in green!</t>
  </si>
  <si>
    <t>Do not modify anything in red!</t>
  </si>
  <si>
    <t>B_Ks</t>
  </si>
  <si>
    <t>D_K12</t>
  </si>
  <si>
    <t>DB_K12</t>
  </si>
  <si>
    <t>K Mag =</t>
  </si>
  <si>
    <t>prev.  18.0</t>
  </si>
  <si>
    <t>prev. 0.004</t>
  </si>
  <si>
    <t>prev. 17.2</t>
  </si>
  <si>
    <t>ZP FLUX</t>
  </si>
  <si>
    <t>ZP OBJECT</t>
  </si>
  <si>
    <t>IFS detector overheads</t>
  </si>
  <si>
    <t>v1.0</t>
  </si>
  <si>
    <t>v3.0</t>
  </si>
  <si>
    <t>v4.0</t>
  </si>
  <si>
    <t>B_J</t>
  </si>
  <si>
    <t>B_Y</t>
  </si>
  <si>
    <t>added IRDIS CI based on measurements from 2015-04-29 and 2015-04-30</t>
  </si>
  <si>
    <t>added IRDIS DBI Y23 and J23 based on measurements from 2015-04-29 and 2015-04-30</t>
  </si>
  <si>
    <t>D_Y23</t>
  </si>
  <si>
    <t>DB_Y23</t>
  </si>
  <si>
    <t>DB_J23</t>
  </si>
  <si>
    <t>D_J23</t>
  </si>
  <si>
    <t>all obs done in Nondest: fixed execution time calculation</t>
  </si>
  <si>
    <t>v5.0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</si>
</sst>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h:mm:ss;@"/>
    <numFmt numFmtId="165" formatCode="0.000000"/>
    <numFmt numFmtId="166" formatCode="0.0"/>
    <numFmt numFmtId="167" formatCode="0.0%"/>
    <numFmt numFmtId="168" formatCode="0.000"/>
  </numFmts>
  <fonts count="1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color indexed="48"/>
      <name val="Calibri"/>
    </font>
    <font>
      <sz val="12"/>
      <name val="Calibri"/>
      <family val="2"/>
    </font>
    <font>
      <sz val="8"/>
      <name val="Verdana"/>
    </font>
    <font>
      <sz val="12"/>
      <color indexed="8"/>
      <name val="Calibri"/>
      <family val="2"/>
    </font>
    <font>
      <b/>
      <sz val="12"/>
      <color indexed="8"/>
      <name val="Calibri"/>
      <family val="2"/>
    </font>
    <font>
      <sz val="12"/>
      <name val="Calibri"/>
      <family val="2"/>
      <scheme val="minor"/>
    </font>
    <font>
      <sz val="11"/>
      <name val="ArialMT"/>
    </font>
    <font>
      <b/>
      <sz val="12"/>
      <name val="Calibri"/>
      <scheme val="minor"/>
    </font>
    <font>
      <b/>
      <sz val="12"/>
      <name val="Calibri"/>
    </font>
    <font>
      <b/>
      <sz val="16"/>
      <color theme="1"/>
      <name val="Calibri"/>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40"/>
        <bgColor indexed="64"/>
      </patternFill>
    </fill>
    <fill>
      <patternFill patternType="solid">
        <fgColor rgb="FF00CCFF"/>
        <bgColor indexed="64"/>
      </patternFill>
    </fill>
    <fill>
      <patternFill patternType="solid">
        <fgColor rgb="FF00FF00"/>
        <bgColor indexed="64"/>
      </patternFill>
    </fill>
  </fills>
  <borders count="20">
    <border>
      <left/>
      <right/>
      <top/>
      <bottom/>
      <diagonal/>
    </border>
    <border>
      <left style="thin">
        <color auto="1"/>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style="medium">
        <color auto="1"/>
      </bottom>
      <diagonal/>
    </border>
  </borders>
  <cellStyleXfs count="17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5">
    <xf numFmtId="0" fontId="0" fillId="0" borderId="0" xfId="0"/>
    <xf numFmtId="2" fontId="0" fillId="0" borderId="0" xfId="0" applyNumberFormat="1"/>
    <xf numFmtId="2" fontId="1" fillId="0" borderId="0" xfId="0" applyNumberFormat="1" applyFont="1"/>
    <xf numFmtId="0" fontId="1" fillId="0" borderId="0" xfId="0" applyFont="1"/>
    <xf numFmtId="2" fontId="4" fillId="0" borderId="0" xfId="0" applyNumberFormat="1" applyFont="1"/>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2" fontId="1" fillId="0" borderId="4" xfId="0" applyNumberFormat="1" applyFont="1" applyBorder="1"/>
    <xf numFmtId="2" fontId="1" fillId="0" borderId="0" xfId="0" applyNumberFormat="1" applyFont="1" applyBorder="1"/>
    <xf numFmtId="0" fontId="1" fillId="0" borderId="0" xfId="0" applyFont="1" applyBorder="1"/>
    <xf numFmtId="0" fontId="1" fillId="0" borderId="5" xfId="0" applyFont="1" applyBorder="1"/>
    <xf numFmtId="2" fontId="0" fillId="0" borderId="4" xfId="0" applyNumberFormat="1" applyBorder="1"/>
    <xf numFmtId="2" fontId="0" fillId="0" borderId="0" xfId="0" applyNumberFormat="1" applyBorder="1"/>
    <xf numFmtId="0" fontId="0" fillId="0" borderId="0" xfId="0" applyBorder="1"/>
    <xf numFmtId="0" fontId="0" fillId="0" borderId="5" xfId="0" applyBorder="1"/>
    <xf numFmtId="1" fontId="0" fillId="2" borderId="1" xfId="0" applyNumberFormat="1" applyFill="1" applyBorder="1" applyAlignment="1">
      <alignment horizontal="center" vertical="center"/>
    </xf>
    <xf numFmtId="1" fontId="0" fillId="2" borderId="7" xfId="0" applyNumberFormat="1" applyFill="1" applyBorder="1" applyAlignment="1">
      <alignment horizontal="center" vertical="center"/>
    </xf>
    <xf numFmtId="2" fontId="1" fillId="3" borderId="0" xfId="0" applyNumberFormat="1" applyFont="1" applyFill="1" applyBorder="1"/>
    <xf numFmtId="0" fontId="0" fillId="0" borderId="0" xfId="0" applyAlignment="1">
      <alignment vertical="center" wrapText="1"/>
    </xf>
    <xf numFmtId="2" fontId="9" fillId="0" borderId="4" xfId="0" applyNumberFormat="1" applyFont="1" applyBorder="1"/>
    <xf numFmtId="1" fontId="0" fillId="4" borderId="1" xfId="0" applyNumberFormat="1" applyFill="1" applyBorder="1" applyAlignment="1">
      <alignment horizontal="center" vertical="center"/>
    </xf>
    <xf numFmtId="166" fontId="0" fillId="0" borderId="0" xfId="0" applyNumberFormat="1" applyBorder="1"/>
    <xf numFmtId="2" fontId="1" fillId="0" borderId="4" xfId="0" applyNumberFormat="1" applyFont="1" applyFill="1" applyBorder="1" applyAlignment="1">
      <alignment horizontal="center"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0" fontId="0" fillId="0" borderId="5" xfId="0" applyFill="1" applyBorder="1"/>
    <xf numFmtId="1" fontId="0" fillId="4" borderId="7" xfId="0" applyNumberFormat="1" applyFill="1" applyBorder="1" applyAlignment="1">
      <alignment horizontal="center" vertical="center"/>
    </xf>
    <xf numFmtId="2" fontId="1" fillId="0" borderId="0" xfId="0" applyNumberFormat="1" applyFont="1" applyFill="1" applyBorder="1"/>
    <xf numFmtId="2" fontId="0" fillId="0" borderId="0" xfId="0" applyNumberFormat="1" applyFill="1" applyBorder="1"/>
    <xf numFmtId="2" fontId="1" fillId="2" borderId="0" xfId="0" applyNumberFormat="1" applyFont="1" applyFill="1" applyBorder="1"/>
    <xf numFmtId="2" fontId="1" fillId="5" borderId="0" xfId="0" applyNumberFormat="1" applyFont="1" applyFill="1" applyBorder="1"/>
    <xf numFmtId="0" fontId="0" fillId="0" borderId="0" xfId="0" applyFill="1"/>
    <xf numFmtId="0" fontId="1" fillId="0" borderId="0" xfId="0" applyFont="1" applyFill="1"/>
    <xf numFmtId="166" fontId="0" fillId="0" borderId="0" xfId="0" applyNumberFormat="1" applyFill="1"/>
    <xf numFmtId="1" fontId="0" fillId="0" borderId="0" xfId="0" applyNumberFormat="1" applyFill="1" applyBorder="1"/>
    <xf numFmtId="164" fontId="0" fillId="0" borderId="0" xfId="0" applyNumberFormat="1" applyFill="1"/>
    <xf numFmtId="167" fontId="0" fillId="0" borderId="0" xfId="0" applyNumberFormat="1" applyFill="1"/>
    <xf numFmtId="0" fontId="0" fillId="4" borderId="1" xfId="0" applyFont="1" applyFill="1" applyBorder="1" applyAlignment="1">
      <alignment horizontal="center" vertical="center"/>
    </xf>
    <xf numFmtId="0" fontId="0" fillId="0" borderId="0" xfId="0" quotePrefix="1" applyFill="1"/>
    <xf numFmtId="0" fontId="0" fillId="0" borderId="0" xfId="0" applyFill="1" applyBorder="1"/>
    <xf numFmtId="21" fontId="0" fillId="0" borderId="0" xfId="0" applyNumberFormat="1" applyFill="1" applyBorder="1"/>
    <xf numFmtId="0" fontId="0" fillId="5" borderId="0" xfId="0" applyFill="1" applyBorder="1"/>
    <xf numFmtId="0" fontId="0" fillId="0" borderId="0" xfId="0" applyFont="1"/>
    <xf numFmtId="2" fontId="10" fillId="3" borderId="0" xfId="0" applyNumberFormat="1" applyFont="1" applyFill="1"/>
    <xf numFmtId="0" fontId="10" fillId="3" borderId="0" xfId="0" applyFont="1" applyFill="1"/>
    <xf numFmtId="2" fontId="10" fillId="0" borderId="0" xfId="0" applyNumberFormat="1" applyFont="1" applyFill="1"/>
    <xf numFmtId="0" fontId="10" fillId="0" borderId="0" xfId="0" applyFont="1" applyFill="1"/>
    <xf numFmtId="0" fontId="6" fillId="0" borderId="0" xfId="0" applyFont="1" applyFill="1" applyAlignment="1"/>
    <xf numFmtId="165" fontId="11" fillId="0" borderId="0" xfId="0" applyNumberFormat="1" applyFont="1" applyFill="1"/>
    <xf numFmtId="166" fontId="10" fillId="0" borderId="0" xfId="0" applyNumberFormat="1" applyFont="1" applyFill="1"/>
    <xf numFmtId="2" fontId="12" fillId="3" borderId="0" xfId="0" applyNumberFormat="1" applyFont="1" applyFill="1"/>
    <xf numFmtId="0" fontId="13" fillId="3" borderId="0" xfId="0" applyFont="1" applyFill="1"/>
    <xf numFmtId="0" fontId="6" fillId="3" borderId="0" xfId="0" applyFont="1" applyFill="1" applyAlignment="1"/>
    <xf numFmtId="0" fontId="1" fillId="0" borderId="0" xfId="0" applyFont="1" applyFill="1" applyBorder="1"/>
    <xf numFmtId="0" fontId="8" fillId="0" borderId="0" xfId="0" applyFont="1"/>
    <xf numFmtId="0" fontId="14" fillId="3" borderId="0" xfId="0" applyFont="1" applyFill="1"/>
    <xf numFmtId="2" fontId="5" fillId="0" borderId="0" xfId="0" applyNumberFormat="1" applyFont="1" applyBorder="1"/>
    <xf numFmtId="166" fontId="0" fillId="0" borderId="0" xfId="0" applyNumberFormat="1" applyFill="1" applyBorder="1"/>
    <xf numFmtId="168" fontId="0" fillId="0" borderId="0" xfId="0" applyNumberFormat="1" applyFill="1" applyBorder="1"/>
    <xf numFmtId="0" fontId="0" fillId="2" borderId="14" xfId="0" applyFill="1" applyBorder="1" applyAlignment="1"/>
    <xf numFmtId="0" fontId="0" fillId="2" borderId="3" xfId="0" applyFill="1" applyBorder="1" applyAlignment="1"/>
    <xf numFmtId="0" fontId="0" fillId="4" borderId="14" xfId="0" applyFill="1" applyBorder="1"/>
    <xf numFmtId="0" fontId="0" fillId="5" borderId="3" xfId="0" applyFill="1" applyBorder="1"/>
    <xf numFmtId="167" fontId="0" fillId="0" borderId="5" xfId="0" applyNumberFormat="1" applyFill="1" applyBorder="1"/>
    <xf numFmtId="167" fontId="0" fillId="5" borderId="3" xfId="0" applyNumberFormat="1" applyFill="1" applyBorder="1"/>
    <xf numFmtId="0" fontId="0" fillId="5" borderId="13" xfId="0" applyFill="1" applyBorder="1"/>
    <xf numFmtId="0" fontId="0" fillId="5" borderId="14" xfId="0" applyFill="1" applyBorder="1"/>
    <xf numFmtId="21" fontId="0" fillId="5" borderId="13" xfId="0" applyNumberFormat="1" applyFill="1" applyBorder="1"/>
    <xf numFmtId="1" fontId="0" fillId="5" borderId="14" xfId="0" applyNumberFormat="1" applyFill="1" applyBorder="1"/>
    <xf numFmtId="2" fontId="1" fillId="2" borderId="11" xfId="0" applyNumberFormat="1" applyFont="1" applyFill="1" applyBorder="1" applyAlignment="1">
      <alignment vertical="center"/>
    </xf>
    <xf numFmtId="2" fontId="1" fillId="2" borderId="12" xfId="0" applyNumberFormat="1" applyFont="1" applyFill="1" applyBorder="1" applyAlignment="1">
      <alignment vertical="center"/>
    </xf>
    <xf numFmtId="0" fontId="0" fillId="2" borderId="13" xfId="0" applyFill="1" applyBorder="1" applyAlignment="1"/>
    <xf numFmtId="2" fontId="1" fillId="5" borderId="11" xfId="0" applyNumberFormat="1" applyFont="1" applyFill="1" applyBorder="1" applyAlignment="1">
      <alignment vertical="center"/>
    </xf>
    <xf numFmtId="2" fontId="1" fillId="5" borderId="12"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5" borderId="8" xfId="0" applyFont="1" applyFill="1" applyBorder="1" applyAlignment="1">
      <alignment horizontal="center" vertical="center"/>
    </xf>
    <xf numFmtId="0" fontId="9"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0" xfId="0" quotePrefix="1" applyFont="1" applyFill="1" applyAlignment="1">
      <alignment horizontal="center"/>
    </xf>
    <xf numFmtId="0" fontId="1" fillId="0" borderId="5" xfId="0" applyFont="1" applyFill="1" applyBorder="1" applyAlignment="1"/>
    <xf numFmtId="0" fontId="0" fillId="2" borderId="16" xfId="0" applyFill="1" applyBorder="1"/>
    <xf numFmtId="0" fontId="1" fillId="2" borderId="17" xfId="0" applyFont="1" applyFill="1" applyBorder="1" applyAlignment="1">
      <alignment horizontal="center" vertical="center"/>
    </xf>
    <xf numFmtId="2" fontId="1" fillId="2" borderId="18" xfId="0" applyNumberFormat="1" applyFont="1" applyFill="1" applyBorder="1" applyAlignment="1">
      <alignment horizontal="center" vertical="center"/>
    </xf>
    <xf numFmtId="2" fontId="1" fillId="2" borderId="17" xfId="0" applyNumberFormat="1" applyFont="1" applyFill="1" applyBorder="1" applyAlignment="1">
      <alignment horizontal="center" vertical="center"/>
    </xf>
    <xf numFmtId="0" fontId="1" fillId="4" borderId="16" xfId="0" applyFont="1" applyFill="1" applyBorder="1" applyAlignment="1"/>
    <xf numFmtId="0" fontId="1" fillId="4" borderId="17" xfId="0" applyFont="1" applyFill="1" applyBorder="1" applyAlignment="1">
      <alignment horizontal="center" vertical="center"/>
    </xf>
    <xf numFmtId="2" fontId="1" fillId="4" borderId="18" xfId="0" applyNumberFormat="1" applyFont="1" applyFill="1" applyBorder="1" applyAlignment="1">
      <alignment horizontal="center" vertical="center"/>
    </xf>
    <xf numFmtId="2" fontId="1" fillId="4" borderId="17" xfId="0" applyNumberFormat="1" applyFont="1" applyFill="1" applyBorder="1" applyAlignment="1">
      <alignment horizontal="center" vertical="center"/>
    </xf>
    <xf numFmtId="0" fontId="14" fillId="0" borderId="0" xfId="0" applyFont="1" applyFill="1"/>
    <xf numFmtId="0" fontId="0" fillId="4" borderId="1" xfId="0" applyFill="1" applyBorder="1" applyAlignment="1">
      <alignment horizontal="center"/>
    </xf>
    <xf numFmtId="21" fontId="0" fillId="5" borderId="9" xfId="0" applyNumberFormat="1" applyFill="1" applyBorder="1" applyAlignment="1">
      <alignment horizontal="center"/>
    </xf>
    <xf numFmtId="0" fontId="0" fillId="4" borderId="7" xfId="0" applyFill="1" applyBorder="1" applyAlignment="1">
      <alignment horizontal="center"/>
    </xf>
    <xf numFmtId="21" fontId="0" fillId="5" borderId="15" xfId="0" applyNumberFormat="1" applyFill="1" applyBorder="1" applyAlignment="1">
      <alignment horizontal="center"/>
    </xf>
    <xf numFmtId="1" fontId="0" fillId="5" borderId="1" xfId="0" applyNumberFormat="1" applyFill="1" applyBorder="1" applyAlignment="1">
      <alignment horizontal="center"/>
    </xf>
    <xf numFmtId="167" fontId="0" fillId="5" borderId="5" xfId="0" applyNumberFormat="1" applyFill="1" applyBorder="1" applyAlignment="1">
      <alignment horizontal="center"/>
    </xf>
    <xf numFmtId="1" fontId="0" fillId="5" borderId="7" xfId="0" applyNumberFormat="1" applyFill="1" applyBorder="1" applyAlignment="1">
      <alignment horizontal="center"/>
    </xf>
    <xf numFmtId="167" fontId="0" fillId="5" borderId="8" xfId="0" applyNumberFormat="1" applyFill="1" applyBorder="1" applyAlignment="1">
      <alignment horizontal="center"/>
    </xf>
    <xf numFmtId="0" fontId="0" fillId="2" borderId="1" xfId="0" applyFill="1" applyBorder="1" applyAlignment="1">
      <alignment horizontal="center"/>
    </xf>
    <xf numFmtId="21" fontId="0" fillId="2" borderId="9" xfId="0" applyNumberFormat="1" applyFill="1" applyBorder="1" applyAlignment="1">
      <alignment horizontal="center"/>
    </xf>
    <xf numFmtId="0" fontId="0" fillId="2" borderId="9"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21" fontId="0" fillId="2" borderId="15" xfId="0" applyNumberFormat="1" applyFill="1" applyBorder="1" applyAlignment="1">
      <alignment horizontal="center"/>
    </xf>
    <xf numFmtId="0" fontId="0" fillId="2" borderId="15" xfId="0" applyFill="1" applyBorder="1" applyAlignment="1">
      <alignment horizontal="center"/>
    </xf>
    <xf numFmtId="0" fontId="0" fillId="2" borderId="8" xfId="0" applyFill="1" applyBorder="1" applyAlignment="1">
      <alignment horizontal="center"/>
    </xf>
    <xf numFmtId="0" fontId="6" fillId="3" borderId="0" xfId="0" applyFont="1" applyFill="1" applyAlignment="1">
      <alignment horizontal="center"/>
    </xf>
    <xf numFmtId="1" fontId="0" fillId="2" borderId="0" xfId="0" applyNumberFormat="1" applyFill="1" applyBorder="1" applyAlignment="1">
      <alignment horizontal="center" vertical="center"/>
    </xf>
    <xf numFmtId="1" fontId="0" fillId="4" borderId="0" xfId="0" applyNumberFormat="1" applyFill="1" applyBorder="1" applyAlignment="1">
      <alignment horizontal="center" vertical="center"/>
    </xf>
    <xf numFmtId="1" fontId="8" fillId="4" borderId="1" xfId="0" applyNumberFormat="1" applyFont="1" applyFill="1" applyBorder="1" applyAlignment="1">
      <alignment horizontal="center" vertical="center"/>
    </xf>
    <xf numFmtId="1" fontId="0" fillId="2" borderId="6" xfId="0" applyNumberFormat="1" applyFill="1" applyBorder="1" applyAlignment="1">
      <alignment horizontal="center" vertical="center"/>
    </xf>
    <xf numFmtId="1" fontId="0" fillId="2" borderId="15" xfId="0" applyNumberFormat="1" applyFill="1" applyBorder="1" applyAlignment="1">
      <alignment horizontal="center" vertical="center"/>
    </xf>
    <xf numFmtId="1" fontId="0" fillId="4" borderId="6" xfId="0" applyNumberFormat="1" applyFill="1" applyBorder="1" applyAlignment="1">
      <alignment horizontal="center" vertical="center"/>
    </xf>
    <xf numFmtId="1" fontId="0" fillId="4" borderId="19" xfId="0" applyNumberFormat="1" applyFill="1" applyBorder="1" applyAlignment="1">
      <alignment horizontal="center" vertical="center"/>
    </xf>
    <xf numFmtId="1" fontId="8" fillId="4" borderId="7" xfId="0" applyNumberFormat="1" applyFont="1" applyFill="1" applyBorder="1" applyAlignment="1">
      <alignment horizontal="center" vertical="center"/>
    </xf>
    <xf numFmtId="1" fontId="0" fillId="4" borderId="14" xfId="0" applyNumberFormat="1" applyFill="1" applyBorder="1" applyAlignment="1">
      <alignment horizontal="center" vertical="center"/>
    </xf>
    <xf numFmtId="1" fontId="0" fillId="4" borderId="2" xfId="0" applyNumberFormat="1" applyFill="1" applyBorder="1" applyAlignment="1">
      <alignment horizontal="center" vertical="center"/>
    </xf>
    <xf numFmtId="1" fontId="0" fillId="4" borderId="13" xfId="0" applyNumberFormat="1" applyFill="1" applyBorder="1" applyAlignment="1">
      <alignment horizontal="center" vertical="center"/>
    </xf>
    <xf numFmtId="1" fontId="0" fillId="4" borderId="9" xfId="0" applyNumberFormat="1" applyFill="1" applyBorder="1" applyAlignment="1">
      <alignment horizontal="center" vertical="center"/>
    </xf>
    <xf numFmtId="1" fontId="0" fillId="4" borderId="15" xfId="0" applyNumberFormat="1" applyFill="1" applyBorder="1" applyAlignment="1">
      <alignment horizontal="center" vertical="center"/>
    </xf>
    <xf numFmtId="1" fontId="0" fillId="6" borderId="0" xfId="0" applyNumberFormat="1" applyFill="1" applyBorder="1"/>
    <xf numFmtId="2" fontId="0" fillId="6" borderId="0" xfId="0" applyNumberFormat="1" applyFill="1" applyBorder="1"/>
    <xf numFmtId="1" fontId="0" fillId="2" borderId="1" xfId="0" applyNumberFormat="1" applyFill="1" applyBorder="1" applyAlignment="1">
      <alignment horizontal="center"/>
    </xf>
    <xf numFmtId="167" fontId="0" fillId="2" borderId="5" xfId="0" applyNumberFormat="1" applyFill="1" applyBorder="1" applyAlignment="1">
      <alignment horizontal="center"/>
    </xf>
    <xf numFmtId="1" fontId="0" fillId="2" borderId="7" xfId="0" applyNumberFormat="1" applyFill="1" applyBorder="1" applyAlignment="1">
      <alignment horizontal="center"/>
    </xf>
    <xf numFmtId="167" fontId="0" fillId="2" borderId="8" xfId="0" applyNumberFormat="1" applyFill="1" applyBorder="1" applyAlignment="1">
      <alignment horizontal="center"/>
    </xf>
    <xf numFmtId="0" fontId="1" fillId="0" borderId="0" xfId="0" quotePrefix="1" applyFont="1" applyFill="1" applyAlignment="1">
      <alignment horizontal="center"/>
    </xf>
    <xf numFmtId="0" fontId="6" fillId="3" borderId="0" xfId="0" applyFont="1" applyFill="1" applyAlignment="1">
      <alignment horizontal="center"/>
    </xf>
    <xf numFmtId="0" fontId="1" fillId="4" borderId="7" xfId="0" applyFont="1" applyFill="1" applyBorder="1" applyAlignment="1">
      <alignment horizontal="center" vertical="center"/>
    </xf>
    <xf numFmtId="0" fontId="6" fillId="3" borderId="0" xfId="0" applyFont="1" applyFill="1" applyAlignment="1">
      <alignment horizontal="center"/>
    </xf>
    <xf numFmtId="0" fontId="1" fillId="2" borderId="14" xfId="0" applyFont="1" applyFill="1" applyBorder="1" applyAlignment="1">
      <alignment horizontal="center"/>
    </xf>
    <xf numFmtId="0" fontId="1" fillId="2" borderId="2" xfId="0" applyFont="1" applyFill="1" applyBorder="1" applyAlignment="1">
      <alignment horizontal="center"/>
    </xf>
    <xf numFmtId="0" fontId="1" fillId="2" borderId="13" xfId="0" applyFont="1" applyFill="1" applyBorder="1" applyAlignment="1">
      <alignment horizontal="center"/>
    </xf>
    <xf numFmtId="0" fontId="1" fillId="4" borderId="14" xfId="0" applyFont="1" applyFill="1" applyBorder="1" applyAlignment="1">
      <alignment horizontal="center"/>
    </xf>
    <xf numFmtId="0" fontId="1" fillId="4" borderId="2" xfId="0" applyFont="1" applyFill="1" applyBorder="1" applyAlignment="1">
      <alignment horizontal="center"/>
    </xf>
    <xf numFmtId="0" fontId="1" fillId="4" borderId="13" xfId="0" applyFont="1" applyFill="1" applyBorder="1" applyAlignment="1">
      <alignment horizontal="center"/>
    </xf>
    <xf numFmtId="2" fontId="14" fillId="5" borderId="10" xfId="0" applyNumberFormat="1" applyFont="1" applyFill="1" applyBorder="1" applyAlignment="1">
      <alignment horizontal="center" vertical="center"/>
    </xf>
    <xf numFmtId="2" fontId="14" fillId="5" borderId="11" xfId="0" applyNumberFormat="1" applyFont="1" applyFill="1" applyBorder="1" applyAlignment="1">
      <alignment horizontal="center" vertical="center"/>
    </xf>
    <xf numFmtId="0" fontId="1" fillId="5" borderId="7" xfId="0" applyFont="1" applyFill="1" applyBorder="1" applyAlignment="1">
      <alignment horizontal="center" vertical="center"/>
    </xf>
    <xf numFmtId="0" fontId="1" fillId="5" borderId="15" xfId="0" applyFont="1" applyFill="1" applyBorder="1" applyAlignment="1">
      <alignment horizontal="center" vertical="center"/>
    </xf>
    <xf numFmtId="2" fontId="1" fillId="4" borderId="10" xfId="0" applyNumberFormat="1" applyFont="1" applyFill="1" applyBorder="1" applyAlignment="1">
      <alignment horizontal="center" vertical="center"/>
    </xf>
    <xf numFmtId="2" fontId="1" fillId="4" borderId="11" xfId="0" applyNumberFormat="1" applyFont="1" applyFill="1" applyBorder="1" applyAlignment="1">
      <alignment horizontal="center" vertical="center"/>
    </xf>
    <xf numFmtId="2" fontId="1" fillId="4" borderId="12" xfId="0" applyNumberFormat="1" applyFont="1" applyFill="1" applyBorder="1" applyAlignment="1">
      <alignment horizontal="center" vertical="center"/>
    </xf>
    <xf numFmtId="2" fontId="1" fillId="5" borderId="10" xfId="0" applyNumberFormat="1" applyFont="1" applyFill="1" applyBorder="1" applyAlignment="1">
      <alignment horizontal="center" vertical="center"/>
    </xf>
    <xf numFmtId="2" fontId="1" fillId="5" borderId="11" xfId="0" applyNumberFormat="1" applyFont="1" applyFill="1" applyBorder="1" applyAlignment="1">
      <alignment horizontal="center" vertical="center"/>
    </xf>
    <xf numFmtId="2" fontId="1" fillId="5" borderId="12"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1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0" xfId="0" applyFont="1" applyFill="1" applyBorder="1" applyAlignment="1"/>
    <xf numFmtId="0" fontId="13" fillId="0" borderId="0" xfId="0" applyFont="1" applyFill="1"/>
    <xf numFmtId="1" fontId="0" fillId="4" borderId="1" xfId="0" applyNumberFormat="1" applyFill="1" applyBorder="1" applyAlignment="1">
      <alignment horizontal="center"/>
    </xf>
    <xf numFmtId="2" fontId="14" fillId="2" borderId="10" xfId="0" applyNumberFormat="1" applyFont="1" applyFill="1" applyBorder="1" applyAlignment="1">
      <alignment horizontal="center" vertical="center"/>
    </xf>
    <xf numFmtId="2" fontId="14" fillId="2" borderId="11" xfId="0" applyNumberFormat="1" applyFont="1" applyFill="1" applyBorder="1" applyAlignment="1">
      <alignment horizontal="center" vertical="center"/>
    </xf>
    <xf numFmtId="0" fontId="1" fillId="3" borderId="0" xfId="0" applyFont="1" applyFill="1" applyAlignment="1">
      <alignment horizontal="center"/>
    </xf>
    <xf numFmtId="0" fontId="1" fillId="6" borderId="0" xfId="0" applyFont="1" applyFill="1" applyAlignment="1">
      <alignment horizontal="center"/>
    </xf>
    <xf numFmtId="2" fontId="14" fillId="5" borderId="10" xfId="0" applyNumberFormat="1" applyFont="1" applyFill="1" applyBorder="1" applyAlignment="1">
      <alignment horizontal="center" vertical="center"/>
    </xf>
    <xf numFmtId="2" fontId="14" fillId="5" borderId="11" xfId="0" applyNumberFormat="1" applyFont="1" applyFill="1" applyBorder="1" applyAlignment="1">
      <alignment horizontal="center" vertical="center"/>
    </xf>
    <xf numFmtId="2" fontId="14" fillId="5" borderId="12" xfId="0" applyNumberFormat="1" applyFont="1" applyFill="1" applyBorder="1" applyAlignment="1">
      <alignment horizontal="center" vertical="center"/>
    </xf>
    <xf numFmtId="2" fontId="1" fillId="5" borderId="10" xfId="0" applyNumberFormat="1" applyFont="1" applyFill="1" applyBorder="1" applyAlignment="1">
      <alignment horizontal="center" vertical="center"/>
    </xf>
    <xf numFmtId="2" fontId="1" fillId="5" borderId="11" xfId="0" applyNumberFormat="1" applyFont="1" applyFill="1" applyBorder="1" applyAlignment="1">
      <alignment horizontal="center" vertical="center"/>
    </xf>
    <xf numFmtId="2" fontId="1" fillId="5" borderId="12" xfId="0" applyNumberFormat="1" applyFont="1" applyFill="1" applyBorder="1" applyAlignment="1">
      <alignment horizontal="center" vertical="center"/>
    </xf>
    <xf numFmtId="0" fontId="1" fillId="4" borderId="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7" xfId="0" applyFont="1" applyFill="1" applyBorder="1" applyAlignment="1">
      <alignment horizontal="center" vertical="center"/>
    </xf>
    <xf numFmtId="0" fontId="1" fillId="4" borderId="15"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15" xfId="0" applyFont="1" applyFill="1" applyBorder="1" applyAlignment="1">
      <alignment horizontal="center" vertical="center"/>
    </xf>
    <xf numFmtId="2" fontId="1" fillId="4" borderId="10" xfId="0" applyNumberFormat="1" applyFont="1" applyFill="1" applyBorder="1" applyAlignment="1">
      <alignment horizontal="center" vertical="center"/>
    </xf>
    <xf numFmtId="2" fontId="1" fillId="4" borderId="11" xfId="0" applyNumberFormat="1" applyFont="1" applyFill="1" applyBorder="1" applyAlignment="1">
      <alignment horizontal="center" vertical="center"/>
    </xf>
    <xf numFmtId="2" fontId="1" fillId="4" borderId="12" xfId="0" applyNumberFormat="1" applyFont="1" applyFill="1" applyBorder="1" applyAlignment="1">
      <alignment horizontal="center" vertical="center"/>
    </xf>
  </cellXfs>
  <cellStyles count="17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A12" sqref="A12"/>
    </sheetView>
  </sheetViews>
  <sheetFormatPr baseColWidth="10" defaultRowHeight="15" x14ac:dyDescent="0"/>
  <cols>
    <col min="1" max="1" width="17.83203125" customWidth="1"/>
    <col min="2" max="2" width="63.6640625" customWidth="1"/>
    <col min="3" max="3" width="43.6640625" customWidth="1"/>
  </cols>
  <sheetData>
    <row r="1" spans="1:2">
      <c r="A1" t="s">
        <v>24</v>
      </c>
      <c r="B1" t="s">
        <v>70</v>
      </c>
    </row>
    <row r="2" spans="1:2">
      <c r="A2" t="s">
        <v>26</v>
      </c>
      <c r="B2" t="s">
        <v>69</v>
      </c>
    </row>
    <row r="4" spans="1:2">
      <c r="A4" t="s">
        <v>101</v>
      </c>
      <c r="B4" s="6" t="s">
        <v>46</v>
      </c>
    </row>
    <row r="5" spans="1:2">
      <c r="A5" t="s">
        <v>102</v>
      </c>
      <c r="B5" t="s">
        <v>64</v>
      </c>
    </row>
    <row r="6" spans="1:2">
      <c r="A6" t="s">
        <v>103</v>
      </c>
      <c r="B6" t="s">
        <v>65</v>
      </c>
    </row>
    <row r="7" spans="1:2">
      <c r="B7" t="s">
        <v>66</v>
      </c>
    </row>
    <row r="8" spans="1:2">
      <c r="B8" t="s">
        <v>67</v>
      </c>
    </row>
    <row r="9" spans="1:2">
      <c r="B9" t="s">
        <v>68</v>
      </c>
    </row>
    <row r="10" spans="1:2">
      <c r="B10" t="s">
        <v>106</v>
      </c>
    </row>
    <row r="11" spans="1:2">
      <c r="B11" t="s">
        <v>107</v>
      </c>
    </row>
    <row r="12" spans="1:2">
      <c r="A12" t="s">
        <v>113</v>
      </c>
      <c r="B12" t="s">
        <v>112</v>
      </c>
    </row>
    <row r="16" spans="1:2" ht="195">
      <c r="A16" s="5" t="s">
        <v>25</v>
      </c>
      <c r="B16" s="19" t="s">
        <v>48</v>
      </c>
    </row>
    <row r="17" spans="1:3">
      <c r="A17" s="5" t="s">
        <v>38</v>
      </c>
      <c r="B17" s="6" t="s">
        <v>28</v>
      </c>
      <c r="C17" t="s">
        <v>31</v>
      </c>
    </row>
    <row r="18" spans="1:3">
      <c r="A18" s="5"/>
      <c r="B18" s="6" t="s">
        <v>29</v>
      </c>
      <c r="C18" t="s">
        <v>32</v>
      </c>
    </row>
    <row r="19" spans="1:3">
      <c r="A19" s="5" t="s">
        <v>41</v>
      </c>
      <c r="B19" s="6" t="s">
        <v>42</v>
      </c>
      <c r="C19" t="s">
        <v>30</v>
      </c>
    </row>
    <row r="20" spans="1:3">
      <c r="A20" s="5" t="s">
        <v>43</v>
      </c>
      <c r="B20" s="6" t="s">
        <v>44</v>
      </c>
      <c r="C20" t="s">
        <v>45</v>
      </c>
    </row>
    <row r="22" spans="1:3">
      <c r="A22" t="s">
        <v>33</v>
      </c>
      <c r="B22" s="6" t="s">
        <v>47</v>
      </c>
    </row>
    <row r="23" spans="1:3">
      <c r="B23" s="6" t="s">
        <v>34</v>
      </c>
    </row>
    <row r="24" spans="1:3">
      <c r="B24" s="6"/>
    </row>
    <row r="25" spans="1:3">
      <c r="B25" s="6"/>
    </row>
    <row r="27" spans="1:3">
      <c r="B27" s="7"/>
    </row>
  </sheetData>
  <phoneticPr fontId="7"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workbookViewId="0">
      <selection activeCell="W8" sqref="W8"/>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4"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4" s="33" customFormat="1" ht="21" thickBot="1">
      <c r="A2" s="3"/>
      <c r="B2" s="3"/>
      <c r="C2" s="3"/>
      <c r="D2" s="155" t="s">
        <v>71</v>
      </c>
      <c r="E2" s="156"/>
      <c r="F2" s="70"/>
      <c r="G2" s="70"/>
      <c r="H2" s="70"/>
      <c r="I2" s="70"/>
      <c r="J2" s="70"/>
      <c r="K2" s="70"/>
      <c r="L2" s="70"/>
      <c r="M2" s="70"/>
      <c r="N2" s="70"/>
      <c r="O2" s="70"/>
      <c r="P2" s="70"/>
      <c r="Q2" s="70"/>
      <c r="R2" s="71"/>
      <c r="S2" s="3"/>
      <c r="T2" s="3"/>
      <c r="U2" s="3"/>
      <c r="V2" s="3"/>
      <c r="W2" s="3"/>
      <c r="X2" s="3"/>
    </row>
    <row r="3" spans="1:24" s="33" customFormat="1">
      <c r="A3" s="8" t="s">
        <v>74</v>
      </c>
      <c r="B3" s="122">
        <v>3072</v>
      </c>
      <c r="C3" s="43" t="s">
        <v>40</v>
      </c>
      <c r="D3" s="8" t="s">
        <v>27</v>
      </c>
      <c r="E3" s="9"/>
      <c r="F3" s="10"/>
      <c r="G3" s="10"/>
      <c r="H3" s="10" t="s">
        <v>13</v>
      </c>
      <c r="I3" s="10" t="s">
        <v>21</v>
      </c>
      <c r="J3" s="10"/>
      <c r="K3" s="54"/>
      <c r="L3" s="54"/>
      <c r="M3" s="54"/>
      <c r="N3" s="10"/>
      <c r="O3" s="54"/>
      <c r="P3" s="10"/>
      <c r="Q3" s="10"/>
      <c r="R3" s="11"/>
      <c r="S3" s="3"/>
      <c r="T3" s="3"/>
      <c r="U3" s="3"/>
      <c r="V3" s="3"/>
      <c r="W3" s="3"/>
      <c r="X3" s="3"/>
    </row>
    <row r="4" spans="1:24">
      <c r="A4" s="8" t="s">
        <v>75</v>
      </c>
      <c r="B4" s="122">
        <v>17</v>
      </c>
      <c r="C4" s="3"/>
      <c r="D4" s="12" t="s">
        <v>12</v>
      </c>
      <c r="E4" s="123">
        <v>7</v>
      </c>
      <c r="F4" s="14"/>
      <c r="G4" s="14" t="s">
        <v>37</v>
      </c>
      <c r="H4" s="13"/>
      <c r="I4" s="14"/>
      <c r="J4" s="14"/>
      <c r="K4" s="40"/>
      <c r="L4" s="29"/>
      <c r="M4" s="40"/>
      <c r="N4" s="14"/>
      <c r="O4" s="40"/>
      <c r="P4" s="14"/>
      <c r="Q4" s="14"/>
      <c r="R4" s="15"/>
    </row>
    <row r="5" spans="1:24" ht="16" thickBot="1">
      <c r="A5" s="8" t="s">
        <v>76</v>
      </c>
      <c r="B5" s="122">
        <v>16</v>
      </c>
      <c r="D5" s="12"/>
      <c r="E5" s="13"/>
      <c r="F5" s="14"/>
      <c r="G5" s="14" t="s">
        <v>15</v>
      </c>
      <c r="H5" s="13">
        <f>10^(0.4*(J53-$E$4))</f>
        <v>33113.112148259148</v>
      </c>
      <c r="I5" s="13">
        <f>10^(0.4*(J54-$E$4))</f>
        <v>33.113112148259155</v>
      </c>
      <c r="J5" s="14"/>
      <c r="K5" s="40"/>
      <c r="L5" s="29"/>
      <c r="M5" s="40"/>
      <c r="N5" s="14"/>
      <c r="O5" s="40"/>
      <c r="P5" s="14"/>
      <c r="Q5" s="14"/>
      <c r="R5" s="15"/>
    </row>
    <row r="6" spans="1:24">
      <c r="A6" s="20" t="s">
        <v>77</v>
      </c>
      <c r="B6" s="122">
        <v>1</v>
      </c>
      <c r="C6" s="55"/>
      <c r="D6" s="83"/>
      <c r="E6" s="132" t="s">
        <v>35</v>
      </c>
      <c r="F6" s="133"/>
      <c r="G6" s="133"/>
      <c r="H6" s="134"/>
      <c r="I6" s="132" t="s">
        <v>36</v>
      </c>
      <c r="J6" s="133"/>
      <c r="K6" s="133"/>
      <c r="L6" s="134"/>
      <c r="M6" s="60"/>
      <c r="N6" s="60"/>
      <c r="O6" s="72"/>
      <c r="P6" s="60"/>
      <c r="Q6" s="72"/>
      <c r="R6" s="61"/>
    </row>
    <row r="7" spans="1:24" ht="16" thickBot="1">
      <c r="D7" s="84" t="s">
        <v>20</v>
      </c>
      <c r="E7" s="75" t="s">
        <v>11</v>
      </c>
      <c r="F7" s="75" t="s">
        <v>16</v>
      </c>
      <c r="G7" s="75" t="s">
        <v>17</v>
      </c>
      <c r="H7" s="75" t="s">
        <v>18</v>
      </c>
      <c r="I7" s="148" t="s">
        <v>11</v>
      </c>
      <c r="J7" s="75" t="s">
        <v>16</v>
      </c>
      <c r="K7" s="75" t="s">
        <v>17</v>
      </c>
      <c r="L7" s="75" t="s">
        <v>18</v>
      </c>
      <c r="M7" s="148" t="s">
        <v>14</v>
      </c>
      <c r="N7" s="148" t="s">
        <v>82</v>
      </c>
      <c r="O7" s="149"/>
      <c r="P7" s="148" t="s">
        <v>83</v>
      </c>
      <c r="Q7" s="149"/>
      <c r="R7" s="76" t="s">
        <v>63</v>
      </c>
      <c r="T7" s="79" t="s">
        <v>49</v>
      </c>
      <c r="U7" s="80" t="s">
        <v>52</v>
      </c>
      <c r="V7" s="80" t="s">
        <v>81</v>
      </c>
      <c r="W7" s="81" t="s">
        <v>61</v>
      </c>
      <c r="X7" s="128"/>
    </row>
    <row r="8" spans="1:24">
      <c r="A8" s="3"/>
      <c r="B8" s="3"/>
      <c r="C8" s="3"/>
      <c r="D8" s="85">
        <v>2</v>
      </c>
      <c r="E8" s="109">
        <f t="shared" ref="E8:E13" si="0">$H$5*D8</f>
        <v>66226.224296518296</v>
      </c>
      <c r="F8" s="109">
        <f t="shared" ref="F8:F13" si="1">$H$5*D8/$J$50</f>
        <v>9460.8891852168999</v>
      </c>
      <c r="G8" s="109">
        <f t="shared" ref="G8:G13" si="2">$H$5*D8/$J$51</f>
        <v>1324.5244859303659</v>
      </c>
      <c r="H8" s="109">
        <f t="shared" ref="H8:H13" si="3">$H$5*D8/$J$52</f>
        <v>84.905415764767042</v>
      </c>
      <c r="I8" s="16">
        <f t="shared" ref="I8:I13" si="4">$I$5*D8</f>
        <v>66.226224296518311</v>
      </c>
      <c r="J8" s="109">
        <f t="shared" ref="J8:J13" si="5">$I$5*D8/$J$50</f>
        <v>9.4608891852169013</v>
      </c>
      <c r="K8" s="109">
        <f t="shared" ref="K8:K13" si="6">$I$5*D8/$J$51</f>
        <v>1.3245244859303662</v>
      </c>
      <c r="L8" s="109">
        <f t="shared" ref="L8:L13" si="7">$I$5*D8/$J$52</f>
        <v>8.4905415764767067E-2</v>
      </c>
      <c r="M8" s="16">
        <f t="shared" ref="M8:M13" si="8">ROUND($B$3/($B$4*D8),0)</f>
        <v>90</v>
      </c>
      <c r="N8" s="100">
        <f t="shared" ref="N8:N13" si="9">M8*D8*$B$4</f>
        <v>3060</v>
      </c>
      <c r="O8" s="101">
        <f t="shared" ref="O8:O13" si="10">N8/(24*3600)</f>
        <v>3.5416666666666666E-2</v>
      </c>
      <c r="P8" s="124">
        <f t="shared" ref="P8:P13" si="11">W8</f>
        <v>5915.4169000000011</v>
      </c>
      <c r="Q8" s="101">
        <f t="shared" ref="Q8:Q13" si="12">P8/(24*3600)</f>
        <v>6.8465473379629646E-2</v>
      </c>
      <c r="R8" s="125">
        <f t="shared" ref="R8:R13" si="13">N8/P8</f>
        <v>0.51729236531071876</v>
      </c>
      <c r="T8" s="34">
        <f t="shared" ref="T8:T13" si="14">$B$67+M8*($C$67+$G$67+D8+$D$67)</f>
        <v>353.5077</v>
      </c>
      <c r="U8" s="34">
        <f t="shared" ref="U8:U13" si="15">$B$68+M8*($G$68+D8+$D$68)</f>
        <v>346.86570000000006</v>
      </c>
      <c r="V8" s="34">
        <f>IF(D8&lt;0,T8,U8)</f>
        <v>346.86570000000006</v>
      </c>
      <c r="W8" s="34">
        <f t="shared" ref="W8:W13" si="16">(V8+$B$58)*$B$4</f>
        <v>5915.4169000000011</v>
      </c>
      <c r="X8" s="34"/>
    </row>
    <row r="9" spans="1:24">
      <c r="A9" s="157" t="s">
        <v>90</v>
      </c>
      <c r="B9" s="157"/>
      <c r="C9" s="82"/>
      <c r="D9" s="85">
        <v>4</v>
      </c>
      <c r="E9" s="109">
        <f t="shared" si="0"/>
        <v>132452.44859303659</v>
      </c>
      <c r="F9" s="109">
        <f t="shared" si="1"/>
        <v>18921.7783704338</v>
      </c>
      <c r="G9" s="109">
        <f t="shared" si="2"/>
        <v>2649.0489718607319</v>
      </c>
      <c r="H9" s="109">
        <f t="shared" si="3"/>
        <v>169.81083152953408</v>
      </c>
      <c r="I9" s="16">
        <f t="shared" si="4"/>
        <v>132.45244859303662</v>
      </c>
      <c r="J9" s="109">
        <f t="shared" si="5"/>
        <v>18.921778370433803</v>
      </c>
      <c r="K9" s="109">
        <f t="shared" si="6"/>
        <v>2.6490489718607324</v>
      </c>
      <c r="L9" s="109">
        <f t="shared" si="7"/>
        <v>0.16981083152953413</v>
      </c>
      <c r="M9" s="16">
        <f t="shared" si="8"/>
        <v>45</v>
      </c>
      <c r="N9" s="100">
        <f t="shared" si="9"/>
        <v>3060</v>
      </c>
      <c r="O9" s="101">
        <f t="shared" si="10"/>
        <v>3.5416666666666666E-2</v>
      </c>
      <c r="P9" s="124">
        <f t="shared" si="11"/>
        <v>4499.6084500000006</v>
      </c>
      <c r="Q9" s="101">
        <f t="shared" si="12"/>
        <v>5.2078801504629638E-2</v>
      </c>
      <c r="R9" s="125">
        <f t="shared" si="13"/>
        <v>0.68005917270423821</v>
      </c>
      <c r="T9" s="34">
        <f t="shared" si="14"/>
        <v>266.90384999999998</v>
      </c>
      <c r="U9" s="34">
        <f t="shared" si="15"/>
        <v>263.58285000000001</v>
      </c>
      <c r="V9" s="34">
        <f t="shared" ref="V9:V13" si="17">IF(D9&lt;0,T9,U9)</f>
        <v>263.58285000000001</v>
      </c>
      <c r="W9" s="34">
        <f t="shared" si="16"/>
        <v>4499.6084500000006</v>
      </c>
      <c r="X9" s="34"/>
    </row>
    <row r="10" spans="1:24">
      <c r="A10" s="158" t="s">
        <v>89</v>
      </c>
      <c r="B10" s="158"/>
      <c r="D10" s="85">
        <v>8</v>
      </c>
      <c r="E10" s="109">
        <f t="shared" si="0"/>
        <v>264904.89718607318</v>
      </c>
      <c r="F10" s="109">
        <f t="shared" si="1"/>
        <v>37843.5567408676</v>
      </c>
      <c r="G10" s="109">
        <f t="shared" si="2"/>
        <v>5298.0979437214637</v>
      </c>
      <c r="H10" s="109">
        <f t="shared" si="3"/>
        <v>339.62166305906817</v>
      </c>
      <c r="I10" s="16">
        <f t="shared" si="4"/>
        <v>264.90489718607324</v>
      </c>
      <c r="J10" s="109">
        <f t="shared" si="5"/>
        <v>37.843556740867605</v>
      </c>
      <c r="K10" s="109">
        <f t="shared" si="6"/>
        <v>5.2980979437214648</v>
      </c>
      <c r="L10" s="109">
        <f t="shared" si="7"/>
        <v>0.33962166305906827</v>
      </c>
      <c r="M10" s="16">
        <f t="shared" si="8"/>
        <v>23</v>
      </c>
      <c r="N10" s="100">
        <f t="shared" si="9"/>
        <v>3128</v>
      </c>
      <c r="O10" s="101">
        <f t="shared" si="10"/>
        <v>3.6203703703703703E-2</v>
      </c>
      <c r="P10" s="124">
        <f t="shared" si="11"/>
        <v>3875.4354299999995</v>
      </c>
      <c r="Q10" s="101">
        <f t="shared" si="12"/>
        <v>4.4854576736111103E-2</v>
      </c>
      <c r="R10" s="125">
        <f t="shared" si="13"/>
        <v>0.80713510946046141</v>
      </c>
      <c r="T10" s="34">
        <f t="shared" si="14"/>
        <v>228.56419</v>
      </c>
      <c r="U10" s="34">
        <f t="shared" si="15"/>
        <v>226.86678999999998</v>
      </c>
      <c r="V10" s="34">
        <f t="shared" si="17"/>
        <v>226.86678999999998</v>
      </c>
      <c r="W10" s="34">
        <f t="shared" si="16"/>
        <v>3875.4354299999995</v>
      </c>
      <c r="X10" s="34"/>
    </row>
    <row r="11" spans="1:24">
      <c r="D11" s="85">
        <v>16</v>
      </c>
      <c r="E11" s="109">
        <f t="shared" si="0"/>
        <v>529809.79437214637</v>
      </c>
      <c r="F11" s="109">
        <f t="shared" si="1"/>
        <v>75687.113481735199</v>
      </c>
      <c r="G11" s="109">
        <f t="shared" si="2"/>
        <v>10596.195887442927</v>
      </c>
      <c r="H11" s="109">
        <f t="shared" si="3"/>
        <v>679.24332611813634</v>
      </c>
      <c r="I11" s="16">
        <f t="shared" si="4"/>
        <v>529.80979437214648</v>
      </c>
      <c r="J11" s="109">
        <f t="shared" si="5"/>
        <v>75.68711348173521</v>
      </c>
      <c r="K11" s="109">
        <f t="shared" si="6"/>
        <v>10.59619588744293</v>
      </c>
      <c r="L11" s="109">
        <f t="shared" si="7"/>
        <v>0.67924332611813654</v>
      </c>
      <c r="M11" s="16">
        <f t="shared" si="8"/>
        <v>11</v>
      </c>
      <c r="N11" s="100">
        <f t="shared" si="9"/>
        <v>2992</v>
      </c>
      <c r="O11" s="101">
        <f t="shared" si="10"/>
        <v>3.4629629629629628E-2</v>
      </c>
      <c r="P11" s="124">
        <f t="shared" si="11"/>
        <v>3361.8865099999998</v>
      </c>
      <c r="Q11" s="101">
        <f t="shared" si="12"/>
        <v>3.8910723495370371E-2</v>
      </c>
      <c r="R11" s="125">
        <f t="shared" si="13"/>
        <v>0.88997650310331267</v>
      </c>
      <c r="T11" s="34">
        <f t="shared" si="14"/>
        <v>197.46983000000003</v>
      </c>
      <c r="U11" s="34">
        <f t="shared" si="15"/>
        <v>196.65803</v>
      </c>
      <c r="V11" s="34">
        <f t="shared" si="17"/>
        <v>196.65803</v>
      </c>
      <c r="W11" s="34">
        <f t="shared" si="16"/>
        <v>3361.8865099999998</v>
      </c>
      <c r="X11" s="34"/>
    </row>
    <row r="12" spans="1:24">
      <c r="D12" s="85">
        <v>32</v>
      </c>
      <c r="E12" s="109">
        <f t="shared" si="0"/>
        <v>1059619.5887442927</v>
      </c>
      <c r="F12" s="109">
        <f t="shared" si="1"/>
        <v>151374.2269634704</v>
      </c>
      <c r="G12" s="109">
        <f t="shared" si="2"/>
        <v>21192.391774885855</v>
      </c>
      <c r="H12" s="109">
        <f t="shared" si="3"/>
        <v>1358.4866522362727</v>
      </c>
      <c r="I12" s="16">
        <f t="shared" si="4"/>
        <v>1059.619588744293</v>
      </c>
      <c r="J12" s="109">
        <f t="shared" si="5"/>
        <v>151.37422696347042</v>
      </c>
      <c r="K12" s="109">
        <f t="shared" si="6"/>
        <v>21.192391774885859</v>
      </c>
      <c r="L12" s="109">
        <f t="shared" si="7"/>
        <v>1.3584866522362731</v>
      </c>
      <c r="M12" s="16">
        <f t="shared" si="8"/>
        <v>6</v>
      </c>
      <c r="N12" s="100">
        <f t="shared" si="9"/>
        <v>3264</v>
      </c>
      <c r="O12" s="101">
        <f t="shared" si="10"/>
        <v>3.7777777777777778E-2</v>
      </c>
      <c r="P12" s="124">
        <f t="shared" si="11"/>
        <v>3476.5744600000007</v>
      </c>
      <c r="Q12" s="101">
        <f t="shared" si="12"/>
        <v>4.0238130324074084E-2</v>
      </c>
      <c r="R12" s="125">
        <f t="shared" si="13"/>
        <v>0.93885519713563081</v>
      </c>
      <c r="T12" s="34">
        <f t="shared" si="14"/>
        <v>203.84718000000004</v>
      </c>
      <c r="U12" s="34">
        <f t="shared" si="15"/>
        <v>203.40438000000006</v>
      </c>
      <c r="V12" s="34">
        <f t="shared" si="17"/>
        <v>203.40438000000006</v>
      </c>
      <c r="W12" s="34">
        <f t="shared" si="16"/>
        <v>3476.5744600000007</v>
      </c>
      <c r="X12" s="34"/>
    </row>
    <row r="13" spans="1:24" ht="16" thickBot="1">
      <c r="D13" s="86">
        <v>64</v>
      </c>
      <c r="E13" s="17">
        <f t="shared" si="0"/>
        <v>2119239.1774885855</v>
      </c>
      <c r="F13" s="112">
        <f t="shared" si="1"/>
        <v>302748.4539269408</v>
      </c>
      <c r="G13" s="112">
        <f t="shared" si="2"/>
        <v>42384.78354977171</v>
      </c>
      <c r="H13" s="112">
        <f t="shared" si="3"/>
        <v>2716.9733044725454</v>
      </c>
      <c r="I13" s="17">
        <f t="shared" si="4"/>
        <v>2119.2391774885859</v>
      </c>
      <c r="J13" s="112">
        <f t="shared" si="5"/>
        <v>302.74845392694084</v>
      </c>
      <c r="K13" s="112">
        <f t="shared" si="6"/>
        <v>42.384783549771718</v>
      </c>
      <c r="L13" s="113">
        <f t="shared" si="7"/>
        <v>2.7169733044725461</v>
      </c>
      <c r="M13" s="17">
        <f t="shared" si="8"/>
        <v>3</v>
      </c>
      <c r="N13" s="104">
        <f t="shared" si="9"/>
        <v>3264</v>
      </c>
      <c r="O13" s="105">
        <f t="shared" si="10"/>
        <v>3.7777777777777778E-2</v>
      </c>
      <c r="P13" s="126">
        <f t="shared" si="11"/>
        <v>3382.18723</v>
      </c>
      <c r="Q13" s="105">
        <f t="shared" si="12"/>
        <v>3.9145685532407409E-2</v>
      </c>
      <c r="R13" s="127">
        <f t="shared" si="13"/>
        <v>0.96505597651375441</v>
      </c>
      <c r="T13" s="34">
        <f t="shared" si="14"/>
        <v>198.07358999999997</v>
      </c>
      <c r="U13" s="34">
        <f t="shared" si="15"/>
        <v>197.85219000000001</v>
      </c>
      <c r="V13" s="34">
        <f t="shared" si="17"/>
        <v>197.85219000000001</v>
      </c>
      <c r="W13" s="34">
        <f t="shared" si="16"/>
        <v>3382.18723</v>
      </c>
      <c r="X13" s="34"/>
    </row>
    <row r="14" spans="1:24">
      <c r="D14"/>
      <c r="E14"/>
      <c r="G14"/>
      <c r="H14"/>
      <c r="O14" s="32"/>
      <c r="T14" s="34"/>
      <c r="U14" s="34"/>
      <c r="V14" s="34"/>
      <c r="W14" s="34"/>
      <c r="X14" s="34"/>
    </row>
    <row r="15" spans="1:24" ht="16" thickBot="1">
      <c r="P15" s="32"/>
      <c r="Q15" s="32"/>
      <c r="R15" s="32"/>
      <c r="S15" s="32"/>
      <c r="T15" s="32"/>
      <c r="U15" s="32"/>
      <c r="V15" s="32"/>
      <c r="W15" s="32"/>
      <c r="X15" s="32"/>
    </row>
    <row r="16" spans="1:24" ht="21" thickBot="1">
      <c r="D16" s="138" t="s">
        <v>72</v>
      </c>
      <c r="E16" s="139"/>
      <c r="F16" s="73"/>
      <c r="G16" s="73"/>
      <c r="H16" s="73"/>
      <c r="I16" s="73"/>
      <c r="J16" s="73"/>
      <c r="K16" s="73"/>
      <c r="L16" s="73"/>
      <c r="M16" s="73"/>
      <c r="N16" s="73"/>
      <c r="O16" s="73"/>
      <c r="P16" s="73"/>
      <c r="Q16" s="73"/>
      <c r="R16" s="74"/>
      <c r="S16" s="32"/>
      <c r="T16" s="32"/>
      <c r="U16" s="32"/>
      <c r="V16" s="32"/>
      <c r="W16" s="32"/>
      <c r="X16" s="32"/>
    </row>
    <row r="17" spans="4:27">
      <c r="D17" s="8" t="s">
        <v>27</v>
      </c>
      <c r="E17" s="13"/>
      <c r="F17" s="14"/>
      <c r="G17" s="10"/>
      <c r="H17" s="10" t="s">
        <v>13</v>
      </c>
      <c r="I17" s="10" t="s">
        <v>21</v>
      </c>
      <c r="J17" s="14"/>
      <c r="K17" s="14"/>
      <c r="L17" s="14"/>
      <c r="M17" s="14"/>
      <c r="N17" s="14"/>
      <c r="O17" s="14"/>
      <c r="P17" s="40"/>
      <c r="Q17" s="40"/>
      <c r="R17" s="26"/>
      <c r="S17" s="32"/>
      <c r="T17" s="32"/>
      <c r="U17" s="32"/>
      <c r="V17" s="32"/>
      <c r="W17" s="32"/>
      <c r="X17" s="32"/>
    </row>
    <row r="18" spans="4:27">
      <c r="D18" s="12" t="s">
        <v>80</v>
      </c>
      <c r="E18" s="123">
        <v>6.6989999999999998</v>
      </c>
      <c r="F18" s="14"/>
      <c r="G18" s="14" t="s">
        <v>37</v>
      </c>
      <c r="H18" s="13"/>
      <c r="I18" s="14"/>
      <c r="J18" s="14"/>
      <c r="K18" s="14"/>
      <c r="L18" s="14"/>
      <c r="M18" s="14"/>
      <c r="N18" s="14"/>
      <c r="O18" s="14"/>
      <c r="P18" s="40"/>
      <c r="Q18" s="40"/>
      <c r="R18" s="26"/>
      <c r="S18" s="32"/>
      <c r="T18" s="32"/>
      <c r="U18" s="32"/>
      <c r="V18" s="32"/>
      <c r="W18" s="32"/>
      <c r="X18" s="32"/>
    </row>
    <row r="19" spans="4:27" ht="16" thickBot="1">
      <c r="D19" s="12"/>
      <c r="E19" s="13"/>
      <c r="F19" s="14"/>
      <c r="G19" s="14" t="s">
        <v>15</v>
      </c>
      <c r="H19" s="22">
        <f>10^(0.4*(J63-$E$18))</f>
        <v>100092.14583192964</v>
      </c>
      <c r="I19" s="22">
        <f>10^(0.4*(J64-$E$18))</f>
        <v>36.341261606422322</v>
      </c>
      <c r="J19" s="14"/>
      <c r="K19" s="14"/>
      <c r="L19" s="14"/>
      <c r="M19" s="14"/>
      <c r="N19" s="14"/>
      <c r="O19" s="14"/>
      <c r="P19" s="40"/>
      <c r="Q19" s="40"/>
      <c r="R19" s="26"/>
      <c r="S19" s="32"/>
      <c r="T19" s="32"/>
      <c r="U19" s="32"/>
      <c r="V19" s="32"/>
      <c r="W19" s="32"/>
      <c r="X19" s="32"/>
    </row>
    <row r="20" spans="4:27" ht="16" thickBot="1">
      <c r="D20" s="145" t="s">
        <v>87</v>
      </c>
      <c r="E20" s="146"/>
      <c r="F20" s="146"/>
      <c r="G20" s="146"/>
      <c r="H20" s="146"/>
      <c r="I20" s="146"/>
      <c r="J20" s="146"/>
      <c r="K20" s="146"/>
      <c r="L20" s="146"/>
      <c r="M20" s="146"/>
      <c r="N20" s="146"/>
      <c r="O20" s="146"/>
      <c r="P20" s="146"/>
      <c r="Q20" s="146"/>
      <c r="R20" s="147"/>
      <c r="S20" s="32"/>
      <c r="T20" s="32"/>
      <c r="U20" s="32"/>
      <c r="V20" s="32"/>
      <c r="W20" s="32"/>
      <c r="X20" s="32"/>
    </row>
    <row r="21" spans="4:27">
      <c r="D21" s="87"/>
      <c r="E21" s="135" t="s">
        <v>35</v>
      </c>
      <c r="F21" s="136"/>
      <c r="G21" s="136"/>
      <c r="H21" s="137"/>
      <c r="I21" s="135" t="s">
        <v>36</v>
      </c>
      <c r="J21" s="136"/>
      <c r="K21" s="136"/>
      <c r="L21" s="137"/>
      <c r="M21" s="62"/>
      <c r="N21" s="62"/>
      <c r="O21" s="66"/>
      <c r="P21" s="67"/>
      <c r="Q21" s="66"/>
      <c r="R21" s="63"/>
      <c r="S21" s="32"/>
      <c r="T21" s="32"/>
      <c r="U21" s="32"/>
      <c r="V21" s="32"/>
      <c r="W21" s="32"/>
      <c r="X21" s="32"/>
    </row>
    <row r="22" spans="4:27" ht="16" thickBot="1">
      <c r="D22" s="88" t="s">
        <v>20</v>
      </c>
      <c r="E22" s="77" t="s">
        <v>11</v>
      </c>
      <c r="F22" s="77" t="s">
        <v>16</v>
      </c>
      <c r="G22" s="77" t="s">
        <v>17</v>
      </c>
      <c r="H22" s="77" t="s">
        <v>18</v>
      </c>
      <c r="I22" s="150" t="s">
        <v>11</v>
      </c>
      <c r="J22" s="77" t="s">
        <v>16</v>
      </c>
      <c r="K22" s="77" t="s">
        <v>17</v>
      </c>
      <c r="L22" s="77" t="s">
        <v>18</v>
      </c>
      <c r="M22" s="150" t="s">
        <v>14</v>
      </c>
      <c r="N22" s="150" t="s">
        <v>82</v>
      </c>
      <c r="O22" s="151"/>
      <c r="P22" s="140" t="s">
        <v>83</v>
      </c>
      <c r="Q22" s="141"/>
      <c r="R22" s="78" t="s">
        <v>63</v>
      </c>
      <c r="S22" s="33"/>
      <c r="T22" s="79" t="s">
        <v>49</v>
      </c>
      <c r="U22" s="80" t="s">
        <v>52</v>
      </c>
      <c r="V22" s="80" t="s">
        <v>81</v>
      </c>
      <c r="W22" s="81" t="s">
        <v>61</v>
      </c>
      <c r="X22" s="81" t="s">
        <v>62</v>
      </c>
    </row>
    <row r="23" spans="4:27">
      <c r="D23" s="89">
        <v>0.84</v>
      </c>
      <c r="E23" s="110">
        <f t="shared" ref="E23:E29" si="18">$H$19*D23</f>
        <v>84077.402498820898</v>
      </c>
      <c r="F23" s="110">
        <f t="shared" ref="F23:F29" si="19">$H$19*D23/$J$60</f>
        <v>11715.99792417595</v>
      </c>
      <c r="G23" s="110">
        <f t="shared" ref="G23:G29" si="20">$H$19*D23/$J$61</f>
        <v>1497.5429469669218</v>
      </c>
      <c r="H23" s="110">
        <f t="shared" ref="H23:H29" si="21">$H$19*D23/$J$62</f>
        <v>88.039848402481326</v>
      </c>
      <c r="I23" s="21">
        <f t="shared" ref="I23:I29" si="22">$I$19*D23</f>
        <v>30.526659749394749</v>
      </c>
      <c r="J23" s="110">
        <f t="shared" ref="J23:J29" si="23">$I$19*D23/$J$60</f>
        <v>4.253821736000349</v>
      </c>
      <c r="K23" s="110">
        <f t="shared" ref="K23:K29" si="24">$I$19*D23/$J$61</f>
        <v>0.54372498011943504</v>
      </c>
      <c r="L23" s="110">
        <f t="shared" ref="L23:L29" si="25">$I$19*D23/$J$62</f>
        <v>3.1965336900227535E-2</v>
      </c>
      <c r="M23" s="21">
        <f t="shared" ref="M23:M29" si="26">ROUND($B$3/($B$5*D23*$B$6*$B$6),0)</f>
        <v>229</v>
      </c>
      <c r="N23" s="154">
        <f t="shared" ref="N23:N29" si="27">D23*M23*$B$5*$B$6^2</f>
        <v>3077.7599999999998</v>
      </c>
      <c r="O23" s="93">
        <f t="shared" ref="O23:O29" si="28">N23/(24*3600)</f>
        <v>3.5622222222222222E-2</v>
      </c>
      <c r="P23" s="96">
        <f t="shared" ref="P23:P29" si="29">X23</f>
        <v>6537.1571680000015</v>
      </c>
      <c r="Q23" s="93">
        <f t="shared" ref="Q23:Q29" si="30">P23/(24*3600)</f>
        <v>7.566154129629632E-2</v>
      </c>
      <c r="R23" s="97">
        <f t="shared" ref="R23:R29" si="31">N23/P23</f>
        <v>0.47081015813202781</v>
      </c>
      <c r="T23" s="34">
        <f t="shared" ref="T23:T29" si="32">$B$62+M23*($C$62+$G$62+D23+$D$62)</f>
        <v>470.10357599999998</v>
      </c>
      <c r="U23" s="34">
        <f t="shared" ref="U23:U29" si="33">$B$63+M23*($G$63+D23+$D$63)</f>
        <v>407.36169800000005</v>
      </c>
      <c r="V23" s="34">
        <f>IF(D23&lt;0,T23,U23)</f>
        <v>407.36169800000005</v>
      </c>
      <c r="W23" s="34">
        <f t="shared" ref="W23:W29" si="34">(V23+$B$58)*$B$5</f>
        <v>6535.3871680000011</v>
      </c>
      <c r="X23" s="34">
        <f t="shared" ref="X23:X29" si="35">(W23+$B$57)*$B$6^2</f>
        <v>6537.1571680000015</v>
      </c>
    </row>
    <row r="24" spans="4:27">
      <c r="D24" s="89">
        <v>2</v>
      </c>
      <c r="E24" s="110">
        <f t="shared" si="18"/>
        <v>200184.29166385927</v>
      </c>
      <c r="F24" s="110">
        <f t="shared" si="19"/>
        <v>27895.233152799879</v>
      </c>
      <c r="G24" s="110">
        <f t="shared" si="20"/>
        <v>3565.5784451593372</v>
      </c>
      <c r="H24" s="110">
        <f t="shared" si="21"/>
        <v>209.61868667257457</v>
      </c>
      <c r="I24" s="21">
        <f t="shared" si="22"/>
        <v>72.682523212844643</v>
      </c>
      <c r="J24" s="110">
        <f t="shared" si="23"/>
        <v>10.128146990477022</v>
      </c>
      <c r="K24" s="110">
        <f t="shared" si="24"/>
        <v>1.2945832859986548</v>
      </c>
      <c r="L24" s="110">
        <f t="shared" si="25"/>
        <v>7.6107945000541743E-2</v>
      </c>
      <c r="M24" s="21">
        <f t="shared" si="26"/>
        <v>96</v>
      </c>
      <c r="N24" s="92">
        <f t="shared" si="27"/>
        <v>3072</v>
      </c>
      <c r="O24" s="93">
        <f t="shared" si="28"/>
        <v>3.5555555555555556E-2</v>
      </c>
      <c r="P24" s="96">
        <f t="shared" si="29"/>
        <v>4536.2652320000016</v>
      </c>
      <c r="Q24" s="93">
        <f t="shared" si="30"/>
        <v>5.2503069814814833E-2</v>
      </c>
      <c r="R24" s="97">
        <f t="shared" si="31"/>
        <v>0.67720907903032401</v>
      </c>
      <c r="T24" s="34">
        <f t="shared" si="32"/>
        <v>308.60822400000001</v>
      </c>
      <c r="U24" s="34">
        <f t="shared" si="33"/>
        <v>282.30595200000005</v>
      </c>
      <c r="V24" s="34">
        <f t="shared" ref="V24:V29" si="36">IF(D24&lt;0,T24,U24)</f>
        <v>282.30595200000005</v>
      </c>
      <c r="W24" s="34">
        <f t="shared" si="34"/>
        <v>4534.4952320000011</v>
      </c>
      <c r="X24" s="34">
        <f t="shared" si="35"/>
        <v>4536.2652320000016</v>
      </c>
    </row>
    <row r="25" spans="4:27">
      <c r="D25" s="89">
        <v>4</v>
      </c>
      <c r="E25" s="110">
        <f t="shared" si="18"/>
        <v>400368.58332771854</v>
      </c>
      <c r="F25" s="110">
        <f t="shared" si="19"/>
        <v>55790.466305599759</v>
      </c>
      <c r="G25" s="110">
        <f t="shared" si="20"/>
        <v>7131.1568903186744</v>
      </c>
      <c r="H25" s="110">
        <f t="shared" si="21"/>
        <v>419.23737334514914</v>
      </c>
      <c r="I25" s="21">
        <f t="shared" si="22"/>
        <v>145.36504642568929</v>
      </c>
      <c r="J25" s="110">
        <f t="shared" si="23"/>
        <v>20.256293980954045</v>
      </c>
      <c r="K25" s="110">
        <f t="shared" si="24"/>
        <v>2.5891665719973096</v>
      </c>
      <c r="L25" s="110">
        <f t="shared" si="25"/>
        <v>0.15221589000108349</v>
      </c>
      <c r="M25" s="21">
        <f t="shared" si="26"/>
        <v>48</v>
      </c>
      <c r="N25" s="92">
        <f t="shared" si="27"/>
        <v>3072</v>
      </c>
      <c r="O25" s="93">
        <f t="shared" si="28"/>
        <v>3.5555555555555556E-2</v>
      </c>
      <c r="P25" s="96">
        <f t="shared" si="29"/>
        <v>3816.2176159999999</v>
      </c>
      <c r="Q25" s="93">
        <f t="shared" si="30"/>
        <v>4.4169185370370366E-2</v>
      </c>
      <c r="R25" s="97">
        <f t="shared" si="31"/>
        <v>0.80498554042626691</v>
      </c>
      <c r="T25" s="34">
        <f t="shared" si="32"/>
        <v>250.45411200000001</v>
      </c>
      <c r="U25" s="34">
        <f t="shared" si="33"/>
        <v>237.302976</v>
      </c>
      <c r="V25" s="34">
        <f t="shared" si="36"/>
        <v>237.302976</v>
      </c>
      <c r="W25" s="34">
        <f t="shared" si="34"/>
        <v>3814.4476159999999</v>
      </c>
      <c r="X25" s="34">
        <f t="shared" si="35"/>
        <v>3816.2176159999999</v>
      </c>
    </row>
    <row r="26" spans="4:27">
      <c r="D26" s="89">
        <v>8</v>
      </c>
      <c r="E26" s="110">
        <f t="shared" si="18"/>
        <v>800737.16665543709</v>
      </c>
      <c r="F26" s="110">
        <f t="shared" si="19"/>
        <v>111580.93261119952</v>
      </c>
      <c r="G26" s="110">
        <f t="shared" si="20"/>
        <v>14262.313780637349</v>
      </c>
      <c r="H26" s="110">
        <f t="shared" si="21"/>
        <v>838.47474669029828</v>
      </c>
      <c r="I26" s="21">
        <f t="shared" si="22"/>
        <v>290.73009285137857</v>
      </c>
      <c r="J26" s="110">
        <f t="shared" si="23"/>
        <v>40.512587961908089</v>
      </c>
      <c r="K26" s="110">
        <f t="shared" si="24"/>
        <v>5.1783331439946192</v>
      </c>
      <c r="L26" s="110">
        <f t="shared" si="25"/>
        <v>0.30443178000216697</v>
      </c>
      <c r="M26" s="21">
        <f t="shared" si="26"/>
        <v>24</v>
      </c>
      <c r="N26" s="92">
        <f t="shared" si="27"/>
        <v>3072</v>
      </c>
      <c r="O26" s="93">
        <f t="shared" si="28"/>
        <v>3.5555555555555556E-2</v>
      </c>
      <c r="P26" s="96">
        <f t="shared" si="29"/>
        <v>3456.193808</v>
      </c>
      <c r="Q26" s="93">
        <f t="shared" si="30"/>
        <v>4.0002243148148146E-2</v>
      </c>
      <c r="R26" s="97">
        <f t="shared" si="31"/>
        <v>0.88883904394750313</v>
      </c>
      <c r="T26" s="34">
        <f t="shared" si="32"/>
        <v>221.37705600000001</v>
      </c>
      <c r="U26" s="34">
        <f t="shared" si="33"/>
        <v>214.80148800000001</v>
      </c>
      <c r="V26" s="34">
        <f t="shared" si="36"/>
        <v>214.80148800000001</v>
      </c>
      <c r="W26" s="34">
        <f t="shared" si="34"/>
        <v>3454.423808</v>
      </c>
      <c r="X26" s="34">
        <f t="shared" si="35"/>
        <v>3456.193808</v>
      </c>
    </row>
    <row r="27" spans="4:27">
      <c r="D27" s="89">
        <v>16</v>
      </c>
      <c r="E27" s="110">
        <f t="shared" si="18"/>
        <v>1601474.3333108742</v>
      </c>
      <c r="F27" s="110">
        <f t="shared" si="19"/>
        <v>223161.86522239904</v>
      </c>
      <c r="G27" s="110">
        <f t="shared" si="20"/>
        <v>28524.627561274698</v>
      </c>
      <c r="H27" s="110">
        <f t="shared" si="21"/>
        <v>1676.9494933805966</v>
      </c>
      <c r="I27" s="21">
        <f t="shared" si="22"/>
        <v>581.46018570275714</v>
      </c>
      <c r="J27" s="110">
        <f t="shared" si="23"/>
        <v>81.025175923816178</v>
      </c>
      <c r="K27" s="110">
        <f t="shared" si="24"/>
        <v>10.356666287989238</v>
      </c>
      <c r="L27" s="110">
        <f t="shared" si="25"/>
        <v>0.60886356000433395</v>
      </c>
      <c r="M27" s="21">
        <f t="shared" si="26"/>
        <v>12</v>
      </c>
      <c r="N27" s="92">
        <f t="shared" si="27"/>
        <v>3072</v>
      </c>
      <c r="O27" s="93">
        <f t="shared" si="28"/>
        <v>3.5555555555555556E-2</v>
      </c>
      <c r="P27" s="96">
        <f t="shared" si="29"/>
        <v>3276.181904</v>
      </c>
      <c r="Q27" s="93">
        <f t="shared" si="30"/>
        <v>3.7918772037037037E-2</v>
      </c>
      <c r="R27" s="97">
        <f t="shared" si="31"/>
        <v>0.93767687204709005</v>
      </c>
      <c r="T27" s="34">
        <f t="shared" si="32"/>
        <v>206.838528</v>
      </c>
      <c r="U27" s="34">
        <f t="shared" si="33"/>
        <v>203.55074400000001</v>
      </c>
      <c r="V27" s="34">
        <f t="shared" si="36"/>
        <v>203.55074400000001</v>
      </c>
      <c r="W27" s="34">
        <f t="shared" si="34"/>
        <v>3274.411904</v>
      </c>
      <c r="X27" s="34">
        <f t="shared" si="35"/>
        <v>3276.181904</v>
      </c>
    </row>
    <row r="28" spans="4:27">
      <c r="D28" s="89">
        <v>32</v>
      </c>
      <c r="E28" s="110">
        <f t="shared" si="18"/>
        <v>3202948.6666217484</v>
      </c>
      <c r="F28" s="110">
        <f t="shared" si="19"/>
        <v>446323.73044479807</v>
      </c>
      <c r="G28" s="110">
        <f t="shared" si="20"/>
        <v>57049.255122549395</v>
      </c>
      <c r="H28" s="110">
        <f t="shared" si="21"/>
        <v>3353.8989867611931</v>
      </c>
      <c r="I28" s="21">
        <f t="shared" si="22"/>
        <v>1162.9203714055143</v>
      </c>
      <c r="J28" s="110">
        <f t="shared" si="23"/>
        <v>162.05035184763236</v>
      </c>
      <c r="K28" s="110">
        <f t="shared" si="24"/>
        <v>20.713332575978477</v>
      </c>
      <c r="L28" s="110">
        <f t="shared" si="25"/>
        <v>1.2177271200086679</v>
      </c>
      <c r="M28" s="21">
        <f t="shared" si="26"/>
        <v>6</v>
      </c>
      <c r="N28" s="92">
        <f t="shared" si="27"/>
        <v>3072</v>
      </c>
      <c r="O28" s="93">
        <f t="shared" si="28"/>
        <v>3.5555555555555556E-2</v>
      </c>
      <c r="P28" s="96">
        <f t="shared" si="29"/>
        <v>3186.1759520000001</v>
      </c>
      <c r="Q28" s="93">
        <f t="shared" si="30"/>
        <v>3.6877036481481482E-2</v>
      </c>
      <c r="R28" s="97">
        <f t="shared" si="31"/>
        <v>0.96416520816173679</v>
      </c>
      <c r="T28" s="34">
        <f t="shared" si="32"/>
        <v>199.56926400000003</v>
      </c>
      <c r="U28" s="34">
        <f t="shared" si="33"/>
        <v>197.92537200000001</v>
      </c>
      <c r="V28" s="34">
        <f t="shared" si="36"/>
        <v>197.92537200000001</v>
      </c>
      <c r="W28" s="34">
        <f t="shared" si="34"/>
        <v>3184.4059520000001</v>
      </c>
      <c r="X28" s="34">
        <f t="shared" si="35"/>
        <v>3186.1759520000001</v>
      </c>
      <c r="Y28" s="36"/>
      <c r="Z28" s="36"/>
      <c r="AA28" s="37"/>
    </row>
    <row r="29" spans="4:27" ht="16" thickBot="1">
      <c r="D29" s="90">
        <v>64</v>
      </c>
      <c r="E29" s="114">
        <f t="shared" si="18"/>
        <v>6405897.3332434967</v>
      </c>
      <c r="F29" s="114">
        <f t="shared" si="19"/>
        <v>892647.46088959614</v>
      </c>
      <c r="G29" s="114">
        <f t="shared" si="20"/>
        <v>114098.51024509879</v>
      </c>
      <c r="H29" s="114">
        <f t="shared" si="21"/>
        <v>6707.7979735223862</v>
      </c>
      <c r="I29" s="27">
        <f t="shared" si="22"/>
        <v>2325.8407428110286</v>
      </c>
      <c r="J29" s="114">
        <f t="shared" si="23"/>
        <v>324.10070369526471</v>
      </c>
      <c r="K29" s="114">
        <f t="shared" si="24"/>
        <v>41.426665151956954</v>
      </c>
      <c r="L29" s="114">
        <f t="shared" si="25"/>
        <v>2.4354542400173358</v>
      </c>
      <c r="M29" s="115">
        <f t="shared" si="26"/>
        <v>3</v>
      </c>
      <c r="N29" s="94">
        <f t="shared" si="27"/>
        <v>3072</v>
      </c>
      <c r="O29" s="95">
        <f t="shared" si="28"/>
        <v>3.5555555555555556E-2</v>
      </c>
      <c r="P29" s="98">
        <f t="shared" si="29"/>
        <v>3141.1729759999998</v>
      </c>
      <c r="Q29" s="95">
        <f t="shared" si="30"/>
        <v>3.6356168703703701E-2</v>
      </c>
      <c r="R29" s="99">
        <f t="shared" si="31"/>
        <v>0.97797861610025516</v>
      </c>
      <c r="T29" s="34">
        <f t="shared" si="32"/>
        <v>195.93463200000002</v>
      </c>
      <c r="U29" s="34">
        <f t="shared" si="33"/>
        <v>195.112686</v>
      </c>
      <c r="V29" s="34">
        <f t="shared" si="36"/>
        <v>195.112686</v>
      </c>
      <c r="W29" s="34">
        <f t="shared" si="34"/>
        <v>3139.4029759999999</v>
      </c>
      <c r="X29" s="34">
        <f t="shared" si="35"/>
        <v>3141.1729759999998</v>
      </c>
      <c r="Y29" s="36"/>
      <c r="Z29" s="36"/>
      <c r="AA29" s="37"/>
    </row>
    <row r="30" spans="4:27" ht="16" thickBot="1">
      <c r="D30" s="23"/>
      <c r="E30" s="24"/>
      <c r="F30" s="24"/>
      <c r="G30" s="24"/>
      <c r="H30" s="24"/>
      <c r="I30" s="24"/>
      <c r="J30" s="24"/>
      <c r="K30" s="24"/>
      <c r="L30" s="24"/>
      <c r="M30" s="25"/>
      <c r="N30" s="40"/>
      <c r="O30" s="41"/>
      <c r="P30" s="35"/>
      <c r="Q30" s="41"/>
      <c r="R30" s="64"/>
      <c r="T30" s="34"/>
      <c r="U30" s="34"/>
      <c r="V30" s="34"/>
      <c r="W30" s="34"/>
      <c r="X30" s="34"/>
      <c r="Y30" s="36"/>
      <c r="Z30" s="36"/>
      <c r="AA30" s="37"/>
    </row>
    <row r="31" spans="4:27" ht="16" thickBot="1">
      <c r="D31" s="142" t="s">
        <v>88</v>
      </c>
      <c r="E31" s="143"/>
      <c r="F31" s="143"/>
      <c r="G31" s="143"/>
      <c r="H31" s="143"/>
      <c r="I31" s="143"/>
      <c r="J31" s="143"/>
      <c r="K31" s="143"/>
      <c r="L31" s="143"/>
      <c r="M31" s="143"/>
      <c r="N31" s="143"/>
      <c r="O31" s="143"/>
      <c r="P31" s="143"/>
      <c r="Q31" s="143"/>
      <c r="R31" s="144"/>
      <c r="T31" s="34"/>
      <c r="U31" s="34"/>
      <c r="V31" s="34"/>
      <c r="W31" s="34"/>
      <c r="X31" s="34"/>
      <c r="Y31" s="36"/>
      <c r="Z31" s="36"/>
      <c r="AA31" s="37"/>
    </row>
    <row r="32" spans="4:27">
      <c r="D32" s="87"/>
      <c r="E32" s="135" t="s">
        <v>35</v>
      </c>
      <c r="F32" s="136"/>
      <c r="G32" s="136"/>
      <c r="H32" s="137"/>
      <c r="I32" s="135" t="s">
        <v>36</v>
      </c>
      <c r="J32" s="136"/>
      <c r="K32" s="136"/>
      <c r="L32" s="137"/>
      <c r="M32" s="62"/>
      <c r="N32" s="62"/>
      <c r="O32" s="68"/>
      <c r="P32" s="69"/>
      <c r="Q32" s="68"/>
      <c r="R32" s="65"/>
      <c r="T32" s="34"/>
      <c r="U32" s="34"/>
      <c r="V32" s="34"/>
      <c r="W32" s="34"/>
      <c r="X32" s="34"/>
      <c r="Y32" s="36"/>
      <c r="Z32" s="36"/>
      <c r="AA32" s="37"/>
    </row>
    <row r="33" spans="1:27" ht="16" thickBot="1">
      <c r="D33" s="88" t="s">
        <v>20</v>
      </c>
      <c r="E33" s="77" t="s">
        <v>11</v>
      </c>
      <c r="F33" s="77" t="s">
        <v>16</v>
      </c>
      <c r="G33" s="77" t="s">
        <v>17</v>
      </c>
      <c r="H33" s="77" t="s">
        <v>18</v>
      </c>
      <c r="I33" s="150" t="s">
        <v>11</v>
      </c>
      <c r="J33" s="77" t="s">
        <v>16</v>
      </c>
      <c r="K33" s="77" t="s">
        <v>17</v>
      </c>
      <c r="L33" s="77" t="s">
        <v>18</v>
      </c>
      <c r="M33" s="150" t="s">
        <v>14</v>
      </c>
      <c r="N33" s="150" t="s">
        <v>82</v>
      </c>
      <c r="O33" s="151"/>
      <c r="P33" s="140" t="s">
        <v>83</v>
      </c>
      <c r="Q33" s="141"/>
      <c r="R33" s="78" t="s">
        <v>63</v>
      </c>
      <c r="S33" s="33"/>
      <c r="T33" s="79" t="s">
        <v>49</v>
      </c>
      <c r="U33" s="80" t="s">
        <v>52</v>
      </c>
      <c r="V33" s="80" t="s">
        <v>81</v>
      </c>
      <c r="W33" s="81" t="s">
        <v>61</v>
      </c>
      <c r="X33" s="81" t="s">
        <v>62</v>
      </c>
      <c r="Y33" s="36"/>
      <c r="Z33" s="36"/>
      <c r="AA33" s="37"/>
    </row>
    <row r="34" spans="1:27">
      <c r="D34" s="89">
        <v>0.84</v>
      </c>
      <c r="E34" s="110">
        <f t="shared" ref="E34:E40" si="37">$H$19*D34/$K$59</f>
        <v>24276.120584935561</v>
      </c>
      <c r="F34" s="110">
        <f t="shared" ref="F34:F40" si="38">$H$19*D34/$K$60</f>
        <v>3382.823088333857</v>
      </c>
      <c r="G34" s="110">
        <f t="shared" ref="G34:G40" si="39">$H$19*D34/$K$61</f>
        <v>432.39362874226032</v>
      </c>
      <c r="H34" s="110">
        <f t="shared" ref="H34:H40" si="40">$H$19*D34/$K$62</f>
        <v>25.420218900412106</v>
      </c>
      <c r="I34" s="111">
        <f t="shared" ref="I34:I40" si="41">$I$19*D34/$K$59</f>
        <v>8.8141266393428186</v>
      </c>
      <c r="J34" s="110">
        <f t="shared" ref="J34:J40" si="42">$I$19*D34/$K$60</f>
        <v>1.2282288265436436</v>
      </c>
      <c r="K34" s="110">
        <f t="shared" ref="K34:K40" si="43">$I$19*D34/$K$61</f>
        <v>0.15699263761872526</v>
      </c>
      <c r="L34" s="110">
        <f t="shared" ref="L34:L40" si="44">$I$19*D34/$K$62</f>
        <v>9.2295236301917927E-3</v>
      </c>
      <c r="M34" s="38">
        <f t="shared" ref="M34:M40" si="45">ROUND($B$3/($B$5*D34*$B$6*$B$6),0)</f>
        <v>229</v>
      </c>
      <c r="N34" s="154">
        <f t="shared" ref="N34:N40" si="46">D34*M34*$B$5*$B$6^2</f>
        <v>3077.7599999999998</v>
      </c>
      <c r="O34" s="93">
        <f t="shared" ref="O34:O40" si="47">N34/(24*3600)</f>
        <v>3.5622222222222222E-2</v>
      </c>
      <c r="P34" s="96">
        <f t="shared" ref="P34:P40" si="48">X34</f>
        <v>6537.1571680000015</v>
      </c>
      <c r="Q34" s="93">
        <f t="shared" ref="Q34:Q40" si="49">P34/(24*3600)</f>
        <v>7.566154129629632E-2</v>
      </c>
      <c r="R34" s="97">
        <f t="shared" ref="R34:R40" si="50">N34/P34</f>
        <v>0.47081015813202781</v>
      </c>
      <c r="T34" s="34">
        <f t="shared" ref="T34:T40" si="51">$B$62+M34*($C$62+$G$62+D34+$D$62)</f>
        <v>470.10357599999998</v>
      </c>
      <c r="U34" s="34">
        <f t="shared" ref="U34:U40" si="52">$B$63+M34*($G$63+D34+$D$63)</f>
        <v>407.36169800000005</v>
      </c>
      <c r="V34" s="34">
        <f>IF(D34&lt;0,T34,U34)</f>
        <v>407.36169800000005</v>
      </c>
      <c r="W34" s="34">
        <f t="shared" ref="W34:W40" si="53">(V34+$B$58)*$B$5</f>
        <v>6535.3871680000011</v>
      </c>
      <c r="X34" s="34">
        <f t="shared" ref="X34:X40" si="54">(W34+$B$57)*$B$6^2</f>
        <v>6537.1571680000015</v>
      </c>
      <c r="Y34" s="36"/>
      <c r="Z34" s="36"/>
      <c r="AA34" s="37"/>
    </row>
    <row r="35" spans="1:27">
      <c r="D35" s="89">
        <v>2</v>
      </c>
      <c r="E35" s="110">
        <f t="shared" si="37"/>
        <v>57800.287106989425</v>
      </c>
      <c r="F35" s="110">
        <f t="shared" si="38"/>
        <v>8054.3406865091829</v>
      </c>
      <c r="G35" s="110">
        <f t="shared" si="39"/>
        <v>1029.5086398625244</v>
      </c>
      <c r="H35" s="110">
        <f t="shared" si="40"/>
        <v>60.52433071526692</v>
      </c>
      <c r="I35" s="111">
        <f t="shared" si="41"/>
        <v>20.986015807959092</v>
      </c>
      <c r="J35" s="110">
        <f t="shared" si="42"/>
        <v>2.9243543489134369</v>
      </c>
      <c r="K35" s="110">
        <f t="shared" si="43"/>
        <v>0.37379199433029825</v>
      </c>
      <c r="L35" s="110">
        <f t="shared" si="44"/>
        <v>2.197505626236141E-2</v>
      </c>
      <c r="M35" s="21">
        <f t="shared" si="45"/>
        <v>96</v>
      </c>
      <c r="N35" s="92">
        <f t="shared" si="46"/>
        <v>3072</v>
      </c>
      <c r="O35" s="93">
        <f t="shared" si="47"/>
        <v>3.5555555555555556E-2</v>
      </c>
      <c r="P35" s="96">
        <f t="shared" si="48"/>
        <v>4536.2652320000016</v>
      </c>
      <c r="Q35" s="93">
        <f t="shared" si="49"/>
        <v>5.2503069814814833E-2</v>
      </c>
      <c r="R35" s="97">
        <f t="shared" si="50"/>
        <v>0.67720907903032401</v>
      </c>
      <c r="T35" s="34">
        <f t="shared" si="51"/>
        <v>308.60822400000001</v>
      </c>
      <c r="U35" s="34">
        <f t="shared" si="52"/>
        <v>282.30595200000005</v>
      </c>
      <c r="V35" s="34">
        <f t="shared" ref="V35:V40" si="55">IF(D35&lt;0,T35,U35)</f>
        <v>282.30595200000005</v>
      </c>
      <c r="W35" s="34">
        <f t="shared" si="53"/>
        <v>4534.4952320000011</v>
      </c>
      <c r="X35" s="34">
        <f t="shared" si="54"/>
        <v>4536.2652320000016</v>
      </c>
      <c r="Y35" s="36"/>
      <c r="Z35" s="36"/>
      <c r="AA35" s="37"/>
    </row>
    <row r="36" spans="1:27">
      <c r="D36" s="89">
        <v>4</v>
      </c>
      <c r="E36" s="110">
        <f t="shared" si="37"/>
        <v>115600.57421397885</v>
      </c>
      <c r="F36" s="110">
        <f t="shared" si="38"/>
        <v>16108.681373018366</v>
      </c>
      <c r="G36" s="110">
        <f t="shared" si="39"/>
        <v>2059.0172797250489</v>
      </c>
      <c r="H36" s="110">
        <f t="shared" si="40"/>
        <v>121.04866143053384</v>
      </c>
      <c r="I36" s="111">
        <f t="shared" si="41"/>
        <v>41.972031615918183</v>
      </c>
      <c r="J36" s="110">
        <f t="shared" si="42"/>
        <v>5.8487086978268739</v>
      </c>
      <c r="K36" s="110">
        <f t="shared" si="43"/>
        <v>0.7475839886605965</v>
      </c>
      <c r="L36" s="110">
        <f t="shared" si="44"/>
        <v>4.395011252472282E-2</v>
      </c>
      <c r="M36" s="21">
        <f t="shared" si="45"/>
        <v>48</v>
      </c>
      <c r="N36" s="92">
        <f t="shared" si="46"/>
        <v>3072</v>
      </c>
      <c r="O36" s="93">
        <f t="shared" si="47"/>
        <v>3.5555555555555556E-2</v>
      </c>
      <c r="P36" s="96">
        <f t="shared" si="48"/>
        <v>3816.2176159999999</v>
      </c>
      <c r="Q36" s="93">
        <f t="shared" si="49"/>
        <v>4.4169185370370366E-2</v>
      </c>
      <c r="R36" s="97">
        <f t="shared" si="50"/>
        <v>0.80498554042626691</v>
      </c>
      <c r="T36" s="34">
        <f t="shared" si="51"/>
        <v>250.45411200000001</v>
      </c>
      <c r="U36" s="34">
        <f t="shared" si="52"/>
        <v>237.302976</v>
      </c>
      <c r="V36" s="34">
        <f t="shared" si="55"/>
        <v>237.302976</v>
      </c>
      <c r="W36" s="34">
        <f t="shared" si="53"/>
        <v>3814.4476159999999</v>
      </c>
      <c r="X36" s="34">
        <f t="shared" si="54"/>
        <v>3816.2176159999999</v>
      </c>
    </row>
    <row r="37" spans="1:27">
      <c r="D37" s="89">
        <v>8</v>
      </c>
      <c r="E37" s="110">
        <f t="shared" si="37"/>
        <v>231201.1484279577</v>
      </c>
      <c r="F37" s="110">
        <f t="shared" si="38"/>
        <v>32217.362746036732</v>
      </c>
      <c r="G37" s="110">
        <f t="shared" si="39"/>
        <v>4118.0345594500977</v>
      </c>
      <c r="H37" s="110">
        <f t="shared" si="40"/>
        <v>242.09732286106768</v>
      </c>
      <c r="I37" s="111">
        <f t="shared" si="41"/>
        <v>83.944063231836367</v>
      </c>
      <c r="J37" s="110">
        <f t="shared" si="42"/>
        <v>11.697417395653748</v>
      </c>
      <c r="K37" s="110">
        <f t="shared" si="43"/>
        <v>1.495167977321193</v>
      </c>
      <c r="L37" s="110">
        <f t="shared" si="44"/>
        <v>8.7900225049445641E-2</v>
      </c>
      <c r="M37" s="21">
        <f t="shared" si="45"/>
        <v>24</v>
      </c>
      <c r="N37" s="92">
        <f t="shared" si="46"/>
        <v>3072</v>
      </c>
      <c r="O37" s="93">
        <f t="shared" si="47"/>
        <v>3.5555555555555556E-2</v>
      </c>
      <c r="P37" s="96">
        <f t="shared" si="48"/>
        <v>3456.193808</v>
      </c>
      <c r="Q37" s="93">
        <f t="shared" si="49"/>
        <v>4.0002243148148146E-2</v>
      </c>
      <c r="R37" s="97">
        <f t="shared" si="50"/>
        <v>0.88883904394750313</v>
      </c>
      <c r="T37" s="34">
        <f t="shared" si="51"/>
        <v>221.37705600000001</v>
      </c>
      <c r="U37" s="34">
        <f t="shared" si="52"/>
        <v>214.80148800000001</v>
      </c>
      <c r="V37" s="34">
        <f t="shared" si="55"/>
        <v>214.80148800000001</v>
      </c>
      <c r="W37" s="34">
        <f t="shared" si="53"/>
        <v>3454.423808</v>
      </c>
      <c r="X37" s="34">
        <f t="shared" si="54"/>
        <v>3456.193808</v>
      </c>
    </row>
    <row r="38" spans="1:27">
      <c r="D38" s="89">
        <v>16</v>
      </c>
      <c r="E38" s="110">
        <f t="shared" si="37"/>
        <v>462402.2968559154</v>
      </c>
      <c r="F38" s="110">
        <f t="shared" si="38"/>
        <v>64434.725492073463</v>
      </c>
      <c r="G38" s="110">
        <f t="shared" si="39"/>
        <v>8236.0691189001955</v>
      </c>
      <c r="H38" s="110">
        <f t="shared" si="40"/>
        <v>484.19464572213536</v>
      </c>
      <c r="I38" s="111">
        <f t="shared" si="41"/>
        <v>167.88812646367273</v>
      </c>
      <c r="J38" s="110">
        <f t="shared" si="42"/>
        <v>23.394834791307495</v>
      </c>
      <c r="K38" s="110">
        <f t="shared" si="43"/>
        <v>2.990335954642386</v>
      </c>
      <c r="L38" s="110">
        <f t="shared" si="44"/>
        <v>0.17580045009889128</v>
      </c>
      <c r="M38" s="21">
        <f t="shared" si="45"/>
        <v>12</v>
      </c>
      <c r="N38" s="92">
        <f t="shared" si="46"/>
        <v>3072</v>
      </c>
      <c r="O38" s="93">
        <f t="shared" si="47"/>
        <v>3.5555555555555556E-2</v>
      </c>
      <c r="P38" s="96">
        <f t="shared" si="48"/>
        <v>3276.181904</v>
      </c>
      <c r="Q38" s="93">
        <f t="shared" si="49"/>
        <v>3.7918772037037037E-2</v>
      </c>
      <c r="R38" s="97">
        <f t="shared" si="50"/>
        <v>0.93767687204709005</v>
      </c>
      <c r="T38" s="34">
        <f t="shared" si="51"/>
        <v>206.838528</v>
      </c>
      <c r="U38" s="34">
        <f t="shared" si="52"/>
        <v>203.55074400000001</v>
      </c>
      <c r="V38" s="34">
        <f t="shared" si="55"/>
        <v>203.55074400000001</v>
      </c>
      <c r="W38" s="34">
        <f t="shared" si="53"/>
        <v>3274.411904</v>
      </c>
      <c r="X38" s="34">
        <f t="shared" si="54"/>
        <v>3276.181904</v>
      </c>
    </row>
    <row r="39" spans="1:27">
      <c r="D39" s="89">
        <v>32</v>
      </c>
      <c r="E39" s="110">
        <f t="shared" si="37"/>
        <v>924804.59371183079</v>
      </c>
      <c r="F39" s="110">
        <f t="shared" si="38"/>
        <v>128869.45098414693</v>
      </c>
      <c r="G39" s="110">
        <f t="shared" si="39"/>
        <v>16472.138237800391</v>
      </c>
      <c r="H39" s="110">
        <f t="shared" si="40"/>
        <v>968.38929144427073</v>
      </c>
      <c r="I39" s="111">
        <f t="shared" si="41"/>
        <v>335.77625292734547</v>
      </c>
      <c r="J39" s="110">
        <f t="shared" si="42"/>
        <v>46.789669582614991</v>
      </c>
      <c r="K39" s="110">
        <f t="shared" si="43"/>
        <v>5.980671909284772</v>
      </c>
      <c r="L39" s="110">
        <f t="shared" si="44"/>
        <v>0.35160090019778256</v>
      </c>
      <c r="M39" s="21">
        <f t="shared" si="45"/>
        <v>6</v>
      </c>
      <c r="N39" s="92">
        <f t="shared" si="46"/>
        <v>3072</v>
      </c>
      <c r="O39" s="93">
        <f t="shared" si="47"/>
        <v>3.5555555555555556E-2</v>
      </c>
      <c r="P39" s="96">
        <f t="shared" si="48"/>
        <v>3186.1759520000001</v>
      </c>
      <c r="Q39" s="93">
        <f t="shared" si="49"/>
        <v>3.6877036481481482E-2</v>
      </c>
      <c r="R39" s="97">
        <f t="shared" si="50"/>
        <v>0.96416520816173679</v>
      </c>
      <c r="T39" s="34">
        <f t="shared" si="51"/>
        <v>199.56926400000003</v>
      </c>
      <c r="U39" s="34">
        <f t="shared" si="52"/>
        <v>197.92537200000001</v>
      </c>
      <c r="V39" s="34">
        <f t="shared" si="55"/>
        <v>197.92537200000001</v>
      </c>
      <c r="W39" s="34">
        <f t="shared" si="53"/>
        <v>3184.4059520000001</v>
      </c>
      <c r="X39" s="34">
        <f t="shared" si="54"/>
        <v>3186.1759520000001</v>
      </c>
      <c r="Y39" s="36"/>
      <c r="Z39" s="36"/>
      <c r="AA39" s="37"/>
    </row>
    <row r="40" spans="1:27" ht="16" thickBot="1">
      <c r="D40" s="90">
        <v>64</v>
      </c>
      <c r="E40" s="114">
        <f t="shared" si="37"/>
        <v>1849609.1874236616</v>
      </c>
      <c r="F40" s="114">
        <f t="shared" si="38"/>
        <v>257738.90196829385</v>
      </c>
      <c r="G40" s="114">
        <f t="shared" si="39"/>
        <v>32944.276475600782</v>
      </c>
      <c r="H40" s="114">
        <f t="shared" si="40"/>
        <v>1936.7785828885415</v>
      </c>
      <c r="I40" s="116">
        <f t="shared" si="41"/>
        <v>671.55250585469093</v>
      </c>
      <c r="J40" s="114">
        <f t="shared" si="42"/>
        <v>93.579339165229982</v>
      </c>
      <c r="K40" s="114">
        <f t="shared" si="43"/>
        <v>11.961343818569544</v>
      </c>
      <c r="L40" s="114">
        <f t="shared" si="44"/>
        <v>0.70320180039556512</v>
      </c>
      <c r="M40" s="115">
        <f t="shared" si="45"/>
        <v>3</v>
      </c>
      <c r="N40" s="94">
        <f t="shared" si="46"/>
        <v>3072</v>
      </c>
      <c r="O40" s="95">
        <f t="shared" si="47"/>
        <v>3.5555555555555556E-2</v>
      </c>
      <c r="P40" s="98">
        <f t="shared" si="48"/>
        <v>3141.1729759999998</v>
      </c>
      <c r="Q40" s="95">
        <f t="shared" si="49"/>
        <v>3.6356168703703701E-2</v>
      </c>
      <c r="R40" s="99">
        <f t="shared" si="50"/>
        <v>0.97797861610025516</v>
      </c>
      <c r="T40" s="34">
        <f t="shared" si="51"/>
        <v>195.93463200000002</v>
      </c>
      <c r="U40" s="34">
        <f t="shared" si="52"/>
        <v>195.112686</v>
      </c>
      <c r="V40" s="34">
        <f t="shared" si="55"/>
        <v>195.112686</v>
      </c>
      <c r="W40" s="34">
        <f t="shared" si="53"/>
        <v>3139.4029759999999</v>
      </c>
      <c r="X40" s="34">
        <f t="shared" si="54"/>
        <v>3141.1729759999998</v>
      </c>
      <c r="Y40" s="36"/>
      <c r="Z40" s="36"/>
      <c r="AA40" s="37"/>
    </row>
    <row r="41" spans="1:27">
      <c r="D41" s="13"/>
      <c r="E41" s="14"/>
      <c r="F41" s="13"/>
      <c r="G41" s="13"/>
      <c r="H41" s="14"/>
      <c r="I41" s="14"/>
      <c r="J41" s="14"/>
      <c r="K41" s="14"/>
      <c r="L41" s="14"/>
      <c r="M41" s="14"/>
      <c r="N41" s="14"/>
    </row>
    <row r="42" spans="1:27">
      <c r="E42"/>
      <c r="F42" s="1"/>
      <c r="H42"/>
    </row>
    <row r="43" spans="1:27">
      <c r="E43"/>
      <c r="F43" s="1"/>
      <c r="H43"/>
    </row>
    <row r="44" spans="1:27" s="91" customFormat="1" ht="20">
      <c r="A44" s="56" t="s">
        <v>86</v>
      </c>
      <c r="B44" s="56"/>
      <c r="C44" s="56"/>
      <c r="D44" s="56"/>
      <c r="E44" s="56"/>
      <c r="F44" s="56"/>
      <c r="G44" s="56"/>
      <c r="H44" s="56"/>
      <c r="I44" s="56"/>
      <c r="J44" s="56"/>
      <c r="K44" s="56"/>
      <c r="L44" s="56"/>
      <c r="M44" s="56"/>
      <c r="N44" s="56"/>
      <c r="O44" s="56"/>
      <c r="P44" s="56"/>
      <c r="Q44" s="56"/>
      <c r="R44" s="56"/>
      <c r="S44" s="56"/>
      <c r="T44" s="56"/>
      <c r="U44" s="56"/>
      <c r="V44" s="56"/>
      <c r="W44" s="56"/>
      <c r="X44" s="56"/>
    </row>
    <row r="45" spans="1:27">
      <c r="D45"/>
      <c r="E45"/>
      <c r="G45"/>
      <c r="H45"/>
    </row>
    <row r="47" spans="1:27">
      <c r="A47" s="51" t="s">
        <v>4</v>
      </c>
      <c r="B47" s="44"/>
      <c r="C47" s="44"/>
      <c r="D47" s="45"/>
      <c r="E47" s="45"/>
      <c r="F47" s="47"/>
      <c r="G47" s="47"/>
      <c r="H47" s="47"/>
      <c r="I47" s="18" t="s">
        <v>19</v>
      </c>
      <c r="J47" s="35">
        <v>20000</v>
      </c>
      <c r="K47" s="14" t="s">
        <v>39</v>
      </c>
    </row>
    <row r="48" spans="1:27">
      <c r="A48" s="47" t="s">
        <v>5</v>
      </c>
      <c r="B48" s="46" t="s">
        <v>8</v>
      </c>
      <c r="C48" s="46" t="s">
        <v>7</v>
      </c>
      <c r="D48" s="47">
        <v>0</v>
      </c>
      <c r="E48" s="47">
        <v>0</v>
      </c>
      <c r="F48" s="47"/>
      <c r="G48" s="47"/>
      <c r="H48" s="47"/>
      <c r="I48" s="9"/>
      <c r="J48" s="29"/>
      <c r="K48" s="14"/>
    </row>
    <row r="49" spans="1:26">
      <c r="A49" s="47" t="s">
        <v>16</v>
      </c>
      <c r="B49" s="46" t="s">
        <v>8</v>
      </c>
      <c r="C49" s="46" t="s">
        <v>7</v>
      </c>
      <c r="D49" s="47">
        <v>0.94169999999999998</v>
      </c>
      <c r="E49" s="47">
        <v>0.85589999999999999</v>
      </c>
      <c r="F49" s="47"/>
      <c r="G49" s="47"/>
      <c r="H49" s="47"/>
      <c r="I49" s="30" t="s">
        <v>71</v>
      </c>
      <c r="J49" s="30"/>
      <c r="K49" s="14"/>
    </row>
    <row r="50" spans="1:26">
      <c r="A50" s="47" t="s">
        <v>17</v>
      </c>
      <c r="B50" s="46" t="s">
        <v>8</v>
      </c>
      <c r="C50" s="46" t="s">
        <v>7</v>
      </c>
      <c r="D50" s="47">
        <v>1.9266000000000001</v>
      </c>
      <c r="E50" s="47">
        <v>1.7493000000000001</v>
      </c>
      <c r="F50" s="47"/>
      <c r="G50" s="47"/>
      <c r="H50" s="47"/>
      <c r="I50" s="28" t="s">
        <v>22</v>
      </c>
      <c r="J50" s="29">
        <v>7</v>
      </c>
      <c r="K50" s="14"/>
    </row>
    <row r="51" spans="1:26">
      <c r="A51" s="47" t="s">
        <v>18</v>
      </c>
      <c r="B51" s="46" t="s">
        <v>8</v>
      </c>
      <c r="C51" s="46" t="s">
        <v>7</v>
      </c>
      <c r="D51" s="47">
        <v>3.2814999999999999</v>
      </c>
      <c r="E51" s="47">
        <v>2.98</v>
      </c>
      <c r="F51" s="47"/>
      <c r="G51" s="47"/>
      <c r="H51" s="47"/>
      <c r="I51" s="28" t="s">
        <v>23</v>
      </c>
      <c r="J51" s="29">
        <v>50</v>
      </c>
      <c r="K51" s="14"/>
    </row>
    <row r="52" spans="1:26">
      <c r="A52" s="47" t="s">
        <v>79</v>
      </c>
      <c r="B52" s="46" t="s">
        <v>6</v>
      </c>
      <c r="C52" s="46" t="s">
        <v>78</v>
      </c>
      <c r="D52" s="47">
        <v>0.53949999999999998</v>
      </c>
      <c r="E52" s="47">
        <v>0.53959999999999997</v>
      </c>
      <c r="F52" s="47"/>
      <c r="G52" s="47"/>
      <c r="H52" s="47"/>
      <c r="I52" s="28" t="s">
        <v>18</v>
      </c>
      <c r="J52" s="29">
        <v>780</v>
      </c>
      <c r="K52" s="14"/>
    </row>
    <row r="53" spans="1:26">
      <c r="A53" s="47" t="s">
        <v>9</v>
      </c>
      <c r="B53" s="46" t="s">
        <v>10</v>
      </c>
      <c r="C53" s="46" t="s">
        <v>9</v>
      </c>
      <c r="D53" s="47" t="s">
        <v>10</v>
      </c>
      <c r="E53" s="47" t="s">
        <v>3</v>
      </c>
      <c r="F53" s="47"/>
      <c r="G53" s="47"/>
      <c r="H53" s="47"/>
      <c r="I53" s="28" t="s">
        <v>98</v>
      </c>
      <c r="J53" s="29">
        <v>18.3</v>
      </c>
      <c r="K53" s="14" t="s">
        <v>97</v>
      </c>
    </row>
    <row r="54" spans="1:26">
      <c r="A54" s="47"/>
      <c r="B54" s="46"/>
      <c r="C54" s="46"/>
      <c r="D54" s="47"/>
      <c r="E54" s="47"/>
      <c r="F54" s="47"/>
      <c r="G54" s="47"/>
      <c r="H54" s="47"/>
      <c r="I54" s="28" t="s">
        <v>99</v>
      </c>
      <c r="J54" s="29">
        <v>10.8</v>
      </c>
    </row>
    <row r="55" spans="1:26">
      <c r="A55" s="52" t="s">
        <v>85</v>
      </c>
      <c r="B55" s="131"/>
      <c r="C55" s="131"/>
      <c r="D55" s="47"/>
      <c r="E55" s="47"/>
      <c r="F55" s="47"/>
      <c r="G55" s="47"/>
      <c r="H55" s="47"/>
      <c r="I55" s="28" t="s">
        <v>73</v>
      </c>
      <c r="J55" s="40">
        <v>4.0000000000000001E-3</v>
      </c>
      <c r="K55" s="14" t="s">
        <v>96</v>
      </c>
    </row>
    <row r="56" spans="1:26">
      <c r="A56" s="47" t="s">
        <v>51</v>
      </c>
      <c r="B56" s="47">
        <v>4.8</v>
      </c>
      <c r="C56" s="47" t="s">
        <v>40</v>
      </c>
      <c r="D56" s="47"/>
      <c r="E56" s="47"/>
      <c r="F56" s="47"/>
      <c r="G56" s="47"/>
      <c r="H56" s="47"/>
      <c r="I56" s="14"/>
      <c r="J56" s="57"/>
      <c r="K56" s="14"/>
      <c r="L56" s="32"/>
      <c r="R56" s="32"/>
      <c r="S56" s="32"/>
      <c r="T56" s="32"/>
      <c r="U56" s="32"/>
      <c r="V56" s="32"/>
      <c r="W56" s="32"/>
      <c r="X56" s="32"/>
    </row>
    <row r="57" spans="1:26">
      <c r="A57" s="47" t="s">
        <v>53</v>
      </c>
      <c r="B57" s="47">
        <v>1.77</v>
      </c>
      <c r="C57" s="47" t="s">
        <v>40</v>
      </c>
      <c r="D57" s="47"/>
      <c r="E57" s="47"/>
      <c r="F57" s="47"/>
      <c r="G57" s="47"/>
      <c r="H57" s="47"/>
      <c r="I57" s="31" t="s">
        <v>72</v>
      </c>
      <c r="J57" s="42"/>
      <c r="K57" s="42"/>
      <c r="L57" s="32"/>
      <c r="R57" s="32"/>
      <c r="S57" s="32"/>
      <c r="T57" s="32"/>
      <c r="U57" s="32"/>
      <c r="V57" s="32"/>
      <c r="W57" s="32"/>
      <c r="X57" s="32"/>
    </row>
    <row r="58" spans="1:26">
      <c r="A58" s="47" t="s">
        <v>54</v>
      </c>
      <c r="B58" s="47">
        <v>1.1000000000000001</v>
      </c>
      <c r="C58" s="47" t="s">
        <v>40</v>
      </c>
      <c r="D58" s="47"/>
      <c r="E58" s="47"/>
      <c r="F58" s="47"/>
      <c r="G58" s="47"/>
      <c r="H58" s="47"/>
      <c r="I58" s="54"/>
      <c r="J58" s="54" t="s">
        <v>0</v>
      </c>
      <c r="K58" s="54" t="s">
        <v>1</v>
      </c>
      <c r="L58" s="32"/>
      <c r="R58" s="32"/>
      <c r="S58" s="32"/>
      <c r="T58" s="32"/>
      <c r="U58" s="32"/>
      <c r="V58" s="32"/>
      <c r="W58" s="32"/>
      <c r="X58" s="32"/>
    </row>
    <row r="59" spans="1:26">
      <c r="A59" s="47"/>
      <c r="B59" s="47"/>
      <c r="C59" s="47"/>
      <c r="D59" s="47"/>
      <c r="E59" s="47"/>
      <c r="F59" s="47"/>
      <c r="G59" s="47"/>
      <c r="H59" s="47"/>
      <c r="I59" s="28" t="s">
        <v>2</v>
      </c>
      <c r="J59" s="58">
        <f>10^MIN(D48:E48)</f>
        <v>1</v>
      </c>
      <c r="K59" s="58">
        <f>J59*10^MIN($D$52:$E$52)</f>
        <v>3.4633788460827946</v>
      </c>
      <c r="L59" s="32"/>
      <c r="R59" s="32"/>
      <c r="S59" s="32"/>
      <c r="T59" s="32"/>
      <c r="U59" s="32"/>
      <c r="V59" s="32"/>
      <c r="W59" s="32"/>
      <c r="X59" s="32"/>
    </row>
    <row r="60" spans="1:26">
      <c r="A60" s="52" t="s">
        <v>84</v>
      </c>
      <c r="B60" s="53"/>
      <c r="C60" s="53"/>
      <c r="D60" s="53"/>
      <c r="E60" s="53"/>
      <c r="F60" s="53"/>
      <c r="G60" s="53"/>
      <c r="H60" s="48"/>
      <c r="I60" s="28" t="s">
        <v>22</v>
      </c>
      <c r="J60" s="29">
        <f>10^MIN(D49:E49)</f>
        <v>7.1762903205477073</v>
      </c>
      <c r="K60" s="58">
        <f>J60*10^MIN($D$52:$E$52)</f>
        <v>24.854212089533647</v>
      </c>
      <c r="L60" s="32"/>
      <c r="R60" s="32"/>
      <c r="S60" s="32"/>
      <c r="T60" s="32"/>
      <c r="U60" s="32"/>
      <c r="V60" s="32"/>
      <c r="W60" s="32"/>
      <c r="X60" s="32"/>
    </row>
    <row r="61" spans="1:26">
      <c r="A61" s="47"/>
      <c r="B61" s="47" t="s">
        <v>55</v>
      </c>
      <c r="C61" s="47" t="s">
        <v>56</v>
      </c>
      <c r="D61" s="47" t="s">
        <v>57</v>
      </c>
      <c r="E61" s="47" t="s">
        <v>58</v>
      </c>
      <c r="F61" s="47" t="s">
        <v>59</v>
      </c>
      <c r="G61" s="47" t="s">
        <v>60</v>
      </c>
      <c r="H61" s="47"/>
      <c r="I61" s="28" t="s">
        <v>23</v>
      </c>
      <c r="J61" s="58">
        <f>10^MIN(D50:E50)</f>
        <v>56.143566813298229</v>
      </c>
      <c r="K61" s="58">
        <f>J61*10^MIN($D$52:$E$52)</f>
        <v>194.44644164481309</v>
      </c>
      <c r="L61" s="32"/>
      <c r="R61" s="32"/>
      <c r="S61" s="32"/>
      <c r="T61" s="32"/>
      <c r="U61" s="32"/>
      <c r="V61" s="32"/>
      <c r="W61" s="32"/>
      <c r="X61" s="32"/>
    </row>
    <row r="62" spans="1:26">
      <c r="A62" s="47" t="s">
        <v>49</v>
      </c>
      <c r="B62" s="47">
        <v>0.3</v>
      </c>
      <c r="C62" s="47">
        <v>7.3800000000000004E-2</v>
      </c>
      <c r="D62" s="49">
        <v>0.83774400000000004</v>
      </c>
      <c r="E62" s="47">
        <v>0</v>
      </c>
      <c r="F62" s="47">
        <v>0</v>
      </c>
      <c r="G62" s="50">
        <v>0.3</v>
      </c>
      <c r="H62" s="47"/>
      <c r="I62" s="28" t="s">
        <v>18</v>
      </c>
      <c r="J62" s="58">
        <f>10^MIN(D51:E51)</f>
        <v>954.99258602143675</v>
      </c>
      <c r="K62" s="58">
        <f>J62*10^MIN($D$52:$E$52)</f>
        <v>3307.5011205925475</v>
      </c>
      <c r="L62" s="32"/>
      <c r="R62" s="32"/>
      <c r="S62" s="32"/>
      <c r="T62" s="32"/>
      <c r="U62" s="32"/>
      <c r="V62" s="32"/>
      <c r="W62" s="32"/>
      <c r="X62" s="32"/>
    </row>
    <row r="63" spans="1:26">
      <c r="A63" s="47" t="s">
        <v>52</v>
      </c>
      <c r="B63" s="47">
        <v>0.3</v>
      </c>
      <c r="C63" s="47">
        <v>0</v>
      </c>
      <c r="D63" s="49">
        <v>0.83756200000000003</v>
      </c>
      <c r="E63" s="47">
        <v>0</v>
      </c>
      <c r="F63" s="47">
        <v>0</v>
      </c>
      <c r="G63" s="50">
        <v>0.1</v>
      </c>
      <c r="H63" s="47"/>
      <c r="I63" s="28" t="s">
        <v>98</v>
      </c>
      <c r="J63" s="29">
        <v>19.2</v>
      </c>
      <c r="K63" s="29"/>
      <c r="L63" s="39"/>
      <c r="R63" s="39"/>
      <c r="S63" s="39"/>
      <c r="T63" s="32"/>
      <c r="U63" s="32"/>
      <c r="V63" s="32"/>
      <c r="W63" s="32"/>
      <c r="X63" s="32"/>
    </row>
    <row r="64" spans="1:26">
      <c r="B64" s="1"/>
      <c r="C64" s="1"/>
      <c r="D64"/>
      <c r="E64"/>
      <c r="G64"/>
      <c r="H64" s="47"/>
      <c r="I64" s="28" t="s">
        <v>99</v>
      </c>
      <c r="J64" s="46">
        <v>10.6</v>
      </c>
      <c r="K64" s="59"/>
      <c r="L64" s="34"/>
      <c r="R64" s="34"/>
      <c r="S64" s="34"/>
      <c r="T64" s="34"/>
      <c r="U64" s="32"/>
      <c r="V64" s="32"/>
      <c r="W64" s="32"/>
      <c r="X64" s="36"/>
      <c r="Y64" s="36"/>
      <c r="Z64" s="37"/>
    </row>
    <row r="65" spans="1:26">
      <c r="A65" s="52" t="s">
        <v>100</v>
      </c>
      <c r="B65" s="53"/>
      <c r="C65" s="53"/>
      <c r="D65" s="53"/>
      <c r="E65" s="53"/>
      <c r="F65" s="53"/>
      <c r="G65" s="53"/>
      <c r="H65" s="32"/>
      <c r="I65" s="28"/>
      <c r="J65" s="59"/>
      <c r="K65" s="34"/>
      <c r="L65" s="34"/>
      <c r="R65" s="34"/>
      <c r="S65" s="34"/>
      <c r="T65" s="34"/>
      <c r="U65" s="32"/>
      <c r="V65" s="32"/>
      <c r="W65" s="32"/>
      <c r="X65" s="36"/>
      <c r="Y65" s="36"/>
      <c r="Z65" s="37"/>
    </row>
    <row r="66" spans="1:26">
      <c r="A66" s="47"/>
      <c r="B66" s="47" t="s">
        <v>55</v>
      </c>
      <c r="C66" s="47" t="s">
        <v>56</v>
      </c>
      <c r="D66" s="47" t="s">
        <v>57</v>
      </c>
      <c r="E66" s="47" t="s">
        <v>58</v>
      </c>
      <c r="F66" s="47" t="s">
        <v>59</v>
      </c>
      <c r="G66" s="47" t="s">
        <v>60</v>
      </c>
      <c r="H66" s="32"/>
      <c r="I66" s="34"/>
      <c r="J66" s="34"/>
      <c r="K66" s="34"/>
      <c r="L66" s="34"/>
      <c r="R66" s="34"/>
      <c r="S66" s="34"/>
      <c r="T66" s="34"/>
      <c r="U66" s="32"/>
      <c r="V66" s="32"/>
      <c r="W66" s="32"/>
      <c r="X66" s="36"/>
      <c r="Y66" s="36"/>
      <c r="Z66" s="37"/>
    </row>
    <row r="67" spans="1:26">
      <c r="A67" s="47" t="s">
        <v>49</v>
      </c>
      <c r="B67" s="47">
        <v>0.3</v>
      </c>
      <c r="C67" s="47">
        <v>7.3800000000000004E-2</v>
      </c>
      <c r="D67" s="49">
        <v>1.65073</v>
      </c>
      <c r="E67" s="47">
        <v>0</v>
      </c>
      <c r="F67" s="47">
        <v>0</v>
      </c>
      <c r="G67" s="50">
        <v>0.2</v>
      </c>
      <c r="H67"/>
    </row>
    <row r="68" spans="1:26">
      <c r="A68" s="47" t="s">
        <v>52</v>
      </c>
      <c r="B68" s="47">
        <v>0.3</v>
      </c>
      <c r="C68" s="47">
        <v>0</v>
      </c>
      <c r="D68" s="49">
        <v>1.65073</v>
      </c>
      <c r="E68" s="47">
        <v>0</v>
      </c>
      <c r="F68" s="47">
        <v>0</v>
      </c>
      <c r="G68" s="50">
        <v>0.2</v>
      </c>
      <c r="H68"/>
    </row>
  </sheetData>
  <mergeCells count="3">
    <mergeCell ref="D2:E2"/>
    <mergeCell ref="A9:B9"/>
    <mergeCell ref="A10:B10"/>
  </mergeCells>
  <phoneticPr fontId="7" type="noConversion"/>
  <conditionalFormatting sqref="E8:L13 E23:L29 E34:L40">
    <cfRule type="colorScale" priority="4">
      <colorScale>
        <cfvo type="num" val="$J$47"/>
        <cfvo type="num" val="$J$47"/>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tabSelected="1" workbookViewId="0">
      <selection activeCell="N23" sqref="N23"/>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4"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4" s="33" customFormat="1" ht="21" thickBot="1">
      <c r="A2" s="3"/>
      <c r="B2" s="3"/>
      <c r="C2" s="3"/>
      <c r="D2" s="155" t="s">
        <v>71</v>
      </c>
      <c r="E2" s="156"/>
      <c r="F2" s="70"/>
      <c r="G2" s="70"/>
      <c r="H2" s="70"/>
      <c r="I2" s="70"/>
      <c r="J2" s="70"/>
      <c r="K2" s="70"/>
      <c r="L2" s="70"/>
      <c r="M2" s="70"/>
      <c r="N2" s="70"/>
      <c r="O2" s="70"/>
      <c r="P2" s="70"/>
      <c r="Q2" s="70"/>
      <c r="R2" s="71"/>
      <c r="S2" s="3"/>
      <c r="T2" s="3"/>
      <c r="U2" s="3"/>
      <c r="V2" s="3"/>
      <c r="W2" s="3"/>
      <c r="X2" s="3"/>
    </row>
    <row r="3" spans="1:24" s="33" customFormat="1">
      <c r="A3" s="8" t="s">
        <v>74</v>
      </c>
      <c r="B3" s="122">
        <v>1800</v>
      </c>
      <c r="C3" s="43" t="s">
        <v>40</v>
      </c>
      <c r="D3" s="8" t="s">
        <v>27</v>
      </c>
      <c r="E3" s="9"/>
      <c r="F3" s="10"/>
      <c r="G3" s="10"/>
      <c r="H3" s="10" t="s">
        <v>13</v>
      </c>
      <c r="I3" s="10" t="s">
        <v>21</v>
      </c>
      <c r="J3" s="10"/>
      <c r="K3" s="54"/>
      <c r="L3" s="54"/>
      <c r="M3" s="54"/>
      <c r="N3" s="10"/>
      <c r="O3" s="54"/>
      <c r="P3" s="10"/>
      <c r="Q3" s="10"/>
      <c r="R3" s="11"/>
      <c r="S3" s="3"/>
      <c r="T3" s="3"/>
      <c r="U3" s="3"/>
      <c r="V3" s="3"/>
      <c r="W3" s="3"/>
      <c r="X3" s="3"/>
    </row>
    <row r="4" spans="1:24">
      <c r="A4" s="8" t="s">
        <v>75</v>
      </c>
      <c r="B4" s="122">
        <v>16</v>
      </c>
      <c r="C4" s="3"/>
      <c r="D4" s="12" t="s">
        <v>12</v>
      </c>
      <c r="E4" s="123">
        <v>7.66</v>
      </c>
      <c r="F4" s="14"/>
      <c r="G4" s="14" t="s">
        <v>37</v>
      </c>
      <c r="H4" s="13"/>
      <c r="I4" s="14"/>
      <c r="J4" s="14"/>
      <c r="K4" s="40"/>
      <c r="L4" s="29"/>
      <c r="M4" s="40"/>
      <c r="N4" s="14"/>
      <c r="O4" s="40"/>
      <c r="P4" s="14"/>
      <c r="Q4" s="14"/>
      <c r="R4" s="15"/>
    </row>
    <row r="5" spans="1:24" ht="16" thickBot="1">
      <c r="A5" s="8" t="s">
        <v>76</v>
      </c>
      <c r="B5" s="122">
        <v>1</v>
      </c>
      <c r="D5" s="12"/>
      <c r="E5" s="13"/>
      <c r="F5" s="14"/>
      <c r="G5" s="14" t="s">
        <v>15</v>
      </c>
      <c r="H5" s="13">
        <f>10^(0.4*(J42-$E$4))</f>
        <v>16443.717232149338</v>
      </c>
      <c r="I5" s="13">
        <f>10^(0.4*(J43-$E$4))</f>
        <v>31.332857243155875</v>
      </c>
      <c r="J5" s="14"/>
      <c r="K5" s="40"/>
      <c r="L5" s="29"/>
      <c r="M5" s="40"/>
      <c r="N5" s="14"/>
      <c r="O5" s="40"/>
      <c r="P5" s="14"/>
      <c r="Q5" s="14"/>
      <c r="R5" s="15"/>
    </row>
    <row r="6" spans="1:24">
      <c r="A6" s="20" t="s">
        <v>77</v>
      </c>
      <c r="B6" s="122">
        <v>4</v>
      </c>
      <c r="C6" s="55"/>
      <c r="D6" s="83"/>
      <c r="E6" s="132" t="s">
        <v>35</v>
      </c>
      <c r="F6" s="133"/>
      <c r="G6" s="133"/>
      <c r="H6" s="134"/>
      <c r="I6" s="132" t="s">
        <v>36</v>
      </c>
      <c r="J6" s="133"/>
      <c r="K6" s="133"/>
      <c r="L6" s="134"/>
      <c r="M6" s="60"/>
      <c r="N6" s="60"/>
      <c r="O6" s="72"/>
      <c r="P6" s="60"/>
      <c r="Q6" s="72"/>
      <c r="R6" s="61"/>
    </row>
    <row r="7" spans="1:24" ht="16" thickBot="1">
      <c r="D7" s="84" t="s">
        <v>20</v>
      </c>
      <c r="E7" s="75" t="s">
        <v>11</v>
      </c>
      <c r="F7" s="75" t="s">
        <v>16</v>
      </c>
      <c r="G7" s="75" t="s">
        <v>17</v>
      </c>
      <c r="H7" s="75" t="s">
        <v>18</v>
      </c>
      <c r="I7" s="148" t="s">
        <v>11</v>
      </c>
      <c r="J7" s="75" t="s">
        <v>16</v>
      </c>
      <c r="K7" s="75" t="s">
        <v>17</v>
      </c>
      <c r="L7" s="75" t="s">
        <v>18</v>
      </c>
      <c r="M7" s="148" t="s">
        <v>14</v>
      </c>
      <c r="N7" s="148" t="s">
        <v>82</v>
      </c>
      <c r="O7" s="149"/>
      <c r="P7" s="148" t="s">
        <v>83</v>
      </c>
      <c r="Q7" s="149"/>
      <c r="R7" s="76" t="s">
        <v>63</v>
      </c>
    </row>
    <row r="8" spans="1:24">
      <c r="A8" s="3"/>
      <c r="B8" s="3"/>
      <c r="C8" s="3"/>
      <c r="D8" s="85">
        <v>2</v>
      </c>
      <c r="E8" s="109">
        <f t="shared" ref="E8:E13" si="0">$H$5*D8</f>
        <v>32887.434464298676</v>
      </c>
      <c r="F8" s="109">
        <f t="shared" ref="F8:F13" si="1">$H$5*D8/$J$39</f>
        <v>4698.2049234712395</v>
      </c>
      <c r="G8" s="109">
        <f t="shared" ref="G8:G13" si="2">$H$5*D8/$J$40</f>
        <v>657.74868928597357</v>
      </c>
      <c r="H8" s="109">
        <f t="shared" ref="H8:H13" si="3">$H$5*D8/$J$41</f>
        <v>42.163377518331636</v>
      </c>
      <c r="I8" s="16">
        <f t="shared" ref="I8:I13" si="4">$I$5*D8</f>
        <v>62.665714486311749</v>
      </c>
      <c r="J8" s="109">
        <f t="shared" ref="J8:J13" si="5">$I$5*D8/$J$39</f>
        <v>8.9522449266159647</v>
      </c>
      <c r="K8" s="109">
        <f t="shared" ref="K8:K13" si="6">$I$5*D8/$J$40</f>
        <v>1.253314289726235</v>
      </c>
      <c r="L8" s="109">
        <f t="shared" ref="L8:L13" si="7">$I$5*D8/$J$41</f>
        <v>8.0340659597835581E-2</v>
      </c>
      <c r="M8" s="16">
        <f t="shared" ref="M8:M13" si="8">ROUND($B$3/($B$4*D8),0)</f>
        <v>56</v>
      </c>
      <c r="N8" s="100">
        <f t="shared" ref="N8:N13" si="9">M8*D8*$B$4</f>
        <v>1792</v>
      </c>
      <c r="O8" s="101">
        <f t="shared" ref="O8:O13" si="10">N8/(24*3600)</f>
        <v>2.074074074074074E-2</v>
      </c>
      <c r="P8" s="100"/>
      <c r="Q8" s="102"/>
      <c r="R8" s="103"/>
    </row>
    <row r="9" spans="1:24">
      <c r="A9" s="157" t="s">
        <v>90</v>
      </c>
      <c r="B9" s="157"/>
      <c r="C9" s="82"/>
      <c r="D9" s="85">
        <v>4</v>
      </c>
      <c r="E9" s="109">
        <f t="shared" si="0"/>
        <v>65774.868928597352</v>
      </c>
      <c r="F9" s="109">
        <f t="shared" si="1"/>
        <v>9396.4098469424789</v>
      </c>
      <c r="G9" s="109">
        <f t="shared" si="2"/>
        <v>1315.4973785719471</v>
      </c>
      <c r="H9" s="109">
        <f t="shared" si="3"/>
        <v>84.326755036663272</v>
      </c>
      <c r="I9" s="16">
        <f t="shared" si="4"/>
        <v>125.3314289726235</v>
      </c>
      <c r="J9" s="109">
        <f t="shared" si="5"/>
        <v>17.904489853231929</v>
      </c>
      <c r="K9" s="109">
        <f t="shared" si="6"/>
        <v>2.5066285794524701</v>
      </c>
      <c r="L9" s="109">
        <f t="shared" si="7"/>
        <v>0.16068131919567116</v>
      </c>
      <c r="M9" s="16">
        <f t="shared" si="8"/>
        <v>28</v>
      </c>
      <c r="N9" s="100">
        <f t="shared" si="9"/>
        <v>1792</v>
      </c>
      <c r="O9" s="101">
        <f t="shared" si="10"/>
        <v>2.074074074074074E-2</v>
      </c>
      <c r="P9" s="100"/>
      <c r="Q9" s="102"/>
      <c r="R9" s="103"/>
    </row>
    <row r="10" spans="1:24">
      <c r="A10" s="158" t="s">
        <v>89</v>
      </c>
      <c r="B10" s="158"/>
      <c r="D10" s="85">
        <v>8</v>
      </c>
      <c r="E10" s="109">
        <f t="shared" si="0"/>
        <v>131549.7378571947</v>
      </c>
      <c r="F10" s="109">
        <f t="shared" si="1"/>
        <v>18792.819693884958</v>
      </c>
      <c r="G10" s="109">
        <f t="shared" si="2"/>
        <v>2630.9947571438943</v>
      </c>
      <c r="H10" s="109">
        <f t="shared" si="3"/>
        <v>168.65351007332654</v>
      </c>
      <c r="I10" s="16">
        <f t="shared" si="4"/>
        <v>250.662857945247</v>
      </c>
      <c r="J10" s="109">
        <f t="shared" si="5"/>
        <v>35.808979706463859</v>
      </c>
      <c r="K10" s="109">
        <f t="shared" si="6"/>
        <v>5.0132571589049402</v>
      </c>
      <c r="L10" s="109">
        <f t="shared" si="7"/>
        <v>0.32136263839134233</v>
      </c>
      <c r="M10" s="16">
        <f t="shared" si="8"/>
        <v>14</v>
      </c>
      <c r="N10" s="100">
        <f t="shared" si="9"/>
        <v>1792</v>
      </c>
      <c r="O10" s="101">
        <f t="shared" si="10"/>
        <v>2.074074074074074E-2</v>
      </c>
      <c r="P10" s="100"/>
      <c r="Q10" s="102"/>
      <c r="R10" s="103"/>
    </row>
    <row r="11" spans="1:24">
      <c r="D11" s="85">
        <v>16</v>
      </c>
      <c r="E11" s="109">
        <f t="shared" si="0"/>
        <v>263099.47571438941</v>
      </c>
      <c r="F11" s="109">
        <f t="shared" si="1"/>
        <v>37585.639387769916</v>
      </c>
      <c r="G11" s="109">
        <f t="shared" si="2"/>
        <v>5261.9895142877886</v>
      </c>
      <c r="H11" s="109">
        <f t="shared" si="3"/>
        <v>337.30702014665309</v>
      </c>
      <c r="I11" s="16">
        <f t="shared" si="4"/>
        <v>501.325715890494</v>
      </c>
      <c r="J11" s="109">
        <f t="shared" si="5"/>
        <v>71.617959412927718</v>
      </c>
      <c r="K11" s="109">
        <f t="shared" si="6"/>
        <v>10.02651431780988</v>
      </c>
      <c r="L11" s="109">
        <f t="shared" si="7"/>
        <v>0.64272527678268465</v>
      </c>
      <c r="M11" s="16">
        <f t="shared" si="8"/>
        <v>7</v>
      </c>
      <c r="N11" s="100">
        <f t="shared" si="9"/>
        <v>1792</v>
      </c>
      <c r="O11" s="101">
        <f t="shared" si="10"/>
        <v>2.074074074074074E-2</v>
      </c>
      <c r="P11" s="100"/>
      <c r="Q11" s="102"/>
      <c r="R11" s="103"/>
    </row>
    <row r="12" spans="1:24">
      <c r="D12" s="85">
        <v>32</v>
      </c>
      <c r="E12" s="109">
        <f t="shared" si="0"/>
        <v>526198.95142877882</v>
      </c>
      <c r="F12" s="109">
        <f t="shared" si="1"/>
        <v>75171.278775539831</v>
      </c>
      <c r="G12" s="109">
        <f t="shared" si="2"/>
        <v>10523.979028575577</v>
      </c>
      <c r="H12" s="109">
        <f t="shared" si="3"/>
        <v>674.61404029330618</v>
      </c>
      <c r="I12" s="16">
        <f t="shared" si="4"/>
        <v>1002.651431780988</v>
      </c>
      <c r="J12" s="109">
        <f t="shared" si="5"/>
        <v>143.23591882585544</v>
      </c>
      <c r="K12" s="109">
        <f t="shared" si="6"/>
        <v>20.053028635619761</v>
      </c>
      <c r="L12" s="109">
        <f t="shared" si="7"/>
        <v>1.2854505535653693</v>
      </c>
      <c r="M12" s="16">
        <f t="shared" si="8"/>
        <v>4</v>
      </c>
      <c r="N12" s="100">
        <f t="shared" si="9"/>
        <v>2048</v>
      </c>
      <c r="O12" s="101">
        <f t="shared" si="10"/>
        <v>2.3703703703703703E-2</v>
      </c>
      <c r="P12" s="100"/>
      <c r="Q12" s="102"/>
      <c r="R12" s="103"/>
    </row>
    <row r="13" spans="1:24" ht="16" thickBot="1">
      <c r="D13" s="86">
        <v>64</v>
      </c>
      <c r="E13" s="17">
        <f t="shared" si="0"/>
        <v>1052397.9028575576</v>
      </c>
      <c r="F13" s="112">
        <f t="shared" si="1"/>
        <v>150342.55755107966</v>
      </c>
      <c r="G13" s="112">
        <f t="shared" si="2"/>
        <v>21047.958057151154</v>
      </c>
      <c r="H13" s="112">
        <f t="shared" si="3"/>
        <v>1349.2280805866124</v>
      </c>
      <c r="I13" s="17">
        <f t="shared" si="4"/>
        <v>2005.302863561976</v>
      </c>
      <c r="J13" s="112">
        <f t="shared" si="5"/>
        <v>286.47183765171087</v>
      </c>
      <c r="K13" s="112">
        <f t="shared" si="6"/>
        <v>40.106057271239521</v>
      </c>
      <c r="L13" s="113">
        <f t="shared" si="7"/>
        <v>2.5709011071307386</v>
      </c>
      <c r="M13" s="17">
        <f t="shared" si="8"/>
        <v>2</v>
      </c>
      <c r="N13" s="104">
        <f t="shared" si="9"/>
        <v>2048</v>
      </c>
      <c r="O13" s="105">
        <f t="shared" si="10"/>
        <v>2.3703703703703703E-2</v>
      </c>
      <c r="P13" s="104"/>
      <c r="Q13" s="106"/>
      <c r="R13" s="107"/>
    </row>
    <row r="14" spans="1:24">
      <c r="D14"/>
      <c r="E14"/>
      <c r="G14"/>
      <c r="H14"/>
      <c r="O14" s="32"/>
    </row>
    <row r="15" spans="1:24" ht="16" thickBot="1">
      <c r="P15" s="32"/>
      <c r="Q15" s="32"/>
      <c r="R15" s="32"/>
      <c r="S15" s="32"/>
      <c r="T15" s="32"/>
      <c r="U15" s="32"/>
      <c r="V15" s="32"/>
      <c r="W15" s="32"/>
      <c r="X15" s="32"/>
    </row>
    <row r="16" spans="1:24" ht="21" thickBot="1">
      <c r="D16" s="138" t="s">
        <v>72</v>
      </c>
      <c r="E16" s="139"/>
      <c r="F16" s="73"/>
      <c r="G16" s="73"/>
      <c r="H16" s="73"/>
      <c r="I16" s="73"/>
      <c r="J16" s="73"/>
      <c r="K16" s="73"/>
      <c r="L16" s="73"/>
      <c r="M16" s="73"/>
      <c r="N16" s="73"/>
      <c r="O16" s="73"/>
      <c r="P16" s="73"/>
      <c r="Q16" s="73"/>
      <c r="R16" s="74"/>
      <c r="S16" s="32"/>
      <c r="T16" s="32"/>
      <c r="U16" s="32"/>
      <c r="V16" s="32"/>
      <c r="W16" s="32"/>
      <c r="X16" s="32"/>
    </row>
    <row r="17" spans="4:27">
      <c r="D17" s="8" t="s">
        <v>27</v>
      </c>
      <c r="E17" s="13"/>
      <c r="F17" s="14"/>
      <c r="G17" s="10"/>
      <c r="H17" s="10" t="s">
        <v>13</v>
      </c>
      <c r="I17" s="10" t="s">
        <v>21</v>
      </c>
      <c r="J17" s="14"/>
      <c r="K17" s="14"/>
      <c r="L17" s="14"/>
      <c r="M17" s="14"/>
      <c r="N17" s="14"/>
      <c r="O17" s="14"/>
      <c r="P17" s="40"/>
      <c r="Q17" s="40"/>
      <c r="R17" s="26"/>
      <c r="S17" s="32"/>
      <c r="T17" s="32"/>
      <c r="U17" s="32"/>
      <c r="V17" s="32"/>
      <c r="W17" s="32"/>
      <c r="X17" s="32"/>
    </row>
    <row r="18" spans="4:27">
      <c r="D18" s="12" t="s">
        <v>94</v>
      </c>
      <c r="E18" s="123">
        <v>5.5350000000000001</v>
      </c>
      <c r="F18" s="14"/>
      <c r="G18" s="14" t="s">
        <v>37</v>
      </c>
      <c r="H18" s="13"/>
      <c r="I18" s="14"/>
      <c r="J18" s="14"/>
      <c r="K18" s="14"/>
      <c r="L18" s="14"/>
      <c r="M18" s="14"/>
      <c r="N18" s="14"/>
      <c r="O18" s="14"/>
      <c r="P18" s="40"/>
      <c r="Q18" s="40"/>
      <c r="R18" s="26"/>
      <c r="S18" s="32"/>
      <c r="T18" s="32"/>
      <c r="U18" s="32"/>
      <c r="V18" s="32"/>
      <c r="W18" s="32"/>
      <c r="X18" s="32"/>
    </row>
    <row r="19" spans="4:27" ht="16" thickBot="1">
      <c r="D19" s="12"/>
      <c r="E19" s="13"/>
      <c r="F19" s="14"/>
      <c r="G19" s="14" t="s">
        <v>15</v>
      </c>
      <c r="H19" s="22">
        <f>10^(0.4*(J52-$E$18))</f>
        <v>168267.40610704714</v>
      </c>
      <c r="I19" s="22">
        <f>10^(0.4*(J53-$E$18))</f>
        <v>254.68302525850453</v>
      </c>
      <c r="J19" s="14"/>
      <c r="K19" s="14"/>
      <c r="L19" s="14"/>
      <c r="M19" s="14"/>
      <c r="N19" s="14"/>
      <c r="O19" s="14"/>
      <c r="P19" s="40"/>
      <c r="Q19" s="40"/>
      <c r="R19" s="26"/>
      <c r="S19" s="32"/>
      <c r="T19" s="32"/>
      <c r="U19" s="32"/>
      <c r="V19" s="32"/>
      <c r="W19" s="32"/>
      <c r="X19" s="32"/>
    </row>
    <row r="20" spans="4:27" ht="16" thickBot="1">
      <c r="D20" s="145" t="s">
        <v>93</v>
      </c>
      <c r="E20" s="146"/>
      <c r="F20" s="146"/>
      <c r="G20" s="146"/>
      <c r="H20" s="146"/>
      <c r="I20" s="146"/>
      <c r="J20" s="146"/>
      <c r="K20" s="146"/>
      <c r="L20" s="146"/>
      <c r="M20" s="146"/>
      <c r="N20" s="146"/>
      <c r="O20" s="146"/>
      <c r="P20" s="146"/>
      <c r="Q20" s="146"/>
      <c r="R20" s="147"/>
      <c r="S20" s="32"/>
      <c r="T20" s="32"/>
      <c r="U20" s="32"/>
      <c r="V20" s="32"/>
      <c r="W20" s="32"/>
      <c r="X20" s="32"/>
    </row>
    <row r="21" spans="4:27">
      <c r="D21" s="87"/>
      <c r="E21" s="135" t="s">
        <v>35</v>
      </c>
      <c r="F21" s="136"/>
      <c r="G21" s="136"/>
      <c r="H21" s="137"/>
      <c r="I21" s="135" t="s">
        <v>36</v>
      </c>
      <c r="J21" s="136"/>
      <c r="K21" s="136"/>
      <c r="L21" s="137"/>
      <c r="M21" s="62"/>
      <c r="N21" s="62"/>
      <c r="O21" s="66"/>
      <c r="P21" s="67"/>
      <c r="Q21" s="66"/>
      <c r="R21" s="63"/>
      <c r="S21" s="32"/>
      <c r="T21" s="32"/>
      <c r="U21" s="32"/>
      <c r="V21" s="32"/>
      <c r="W21" s="32"/>
      <c r="X21" s="32"/>
    </row>
    <row r="22" spans="4:27" ht="16" thickBot="1">
      <c r="D22" s="88" t="s">
        <v>20</v>
      </c>
      <c r="E22" s="77" t="s">
        <v>11</v>
      </c>
      <c r="F22" s="77" t="s">
        <v>16</v>
      </c>
      <c r="G22" s="77" t="s">
        <v>17</v>
      </c>
      <c r="H22" s="77" t="s">
        <v>18</v>
      </c>
      <c r="I22" s="150" t="s">
        <v>11</v>
      </c>
      <c r="J22" s="77" t="s">
        <v>16</v>
      </c>
      <c r="K22" s="77" t="s">
        <v>17</v>
      </c>
      <c r="L22" s="77" t="s">
        <v>18</v>
      </c>
      <c r="M22" s="150" t="s">
        <v>14</v>
      </c>
      <c r="N22" s="150" t="s">
        <v>82</v>
      </c>
      <c r="O22" s="151"/>
      <c r="P22" s="140" t="s">
        <v>83</v>
      </c>
      <c r="Q22" s="141"/>
      <c r="R22" s="78" t="s">
        <v>63</v>
      </c>
      <c r="S22" s="33"/>
      <c r="T22" s="79" t="s">
        <v>49</v>
      </c>
      <c r="U22" s="80" t="s">
        <v>52</v>
      </c>
      <c r="V22" s="80" t="s">
        <v>81</v>
      </c>
      <c r="W22" s="81" t="s">
        <v>61</v>
      </c>
      <c r="X22" s="81" t="s">
        <v>62</v>
      </c>
    </row>
    <row r="23" spans="4:27">
      <c r="D23" s="89">
        <v>0.84</v>
      </c>
      <c r="E23" s="117">
        <f t="shared" ref="E23:E29" si="11">$H$19*D23</f>
        <v>141344.6211299196</v>
      </c>
      <c r="F23" s="118">
        <f t="shared" ref="F23:F29" si="12">$H$19*D23/$J$49</f>
        <v>21041.625467289501</v>
      </c>
      <c r="G23" s="118">
        <f t="shared" ref="G23:G29" si="13">$H$19*D23/$J$50</f>
        <v>3139.6358978676044</v>
      </c>
      <c r="H23" s="118">
        <f t="shared" ref="H23:H29" si="14">$H$19*D23/$J$51</f>
        <v>204.63470326370282</v>
      </c>
      <c r="I23" s="117">
        <f t="shared" ref="I23:I29" si="15">$I$19*D23</f>
        <v>213.93374121714379</v>
      </c>
      <c r="J23" s="118">
        <f t="shared" ref="J23:J29" si="16">$I$19*D23/$J$49</f>
        <v>31.847788911397785</v>
      </c>
      <c r="K23" s="118">
        <f t="shared" ref="K23:K29" si="17">$I$19*D23/$J$50</f>
        <v>4.7520312292116227</v>
      </c>
      <c r="L23" s="119">
        <f t="shared" ref="L23:L29" si="18">$I$19*D23/$J$51</f>
        <v>0.30972715694518282</v>
      </c>
      <c r="M23" s="21">
        <f t="shared" ref="M23:M29" si="19">ROUND($B$3/($B$5*D23*$B$6*$B$6),0)</f>
        <v>134</v>
      </c>
      <c r="N23" s="154">
        <f t="shared" ref="N23:N29" si="20">D23*M23*$B$5*$B$6^2</f>
        <v>1800.96</v>
      </c>
      <c r="O23" s="93">
        <f t="shared" ref="O23:O29" si="21">N23/(24*3600)</f>
        <v>2.0844444444444443E-2</v>
      </c>
      <c r="P23" s="96">
        <f t="shared" ref="P23:P29" si="22">X23</f>
        <v>3861.8129280000003</v>
      </c>
      <c r="Q23" s="93">
        <f t="shared" ref="Q23:Q29" si="23">P23/(24*3600)</f>
        <v>4.4696908888888894E-2</v>
      </c>
      <c r="R23" s="97">
        <f t="shared" ref="R23:R29" si="24">N23/P23</f>
        <v>0.46635091693390279</v>
      </c>
      <c r="T23" s="34">
        <f t="shared" ref="T23:T29" si="25">$B$49+M23*($C$49+$G$49+D23+$D$49)</f>
        <v>275.20689599999997</v>
      </c>
      <c r="U23" s="34">
        <f t="shared" ref="U23:U29" si="26">$B$51+M23*($G$51+D23+$D$51)</f>
        <v>238.49330800000001</v>
      </c>
      <c r="V23" s="34">
        <f>IF(D23&lt;0,T23,U23)</f>
        <v>238.49330800000001</v>
      </c>
      <c r="W23" s="34">
        <f t="shared" ref="W23:W29" si="27">(V23+$B$45)*$B$5</f>
        <v>239.59330800000001</v>
      </c>
      <c r="X23" s="34">
        <f t="shared" ref="X23:X29" si="28">(W23+$B$44)*$B$6^2</f>
        <v>3861.8129280000003</v>
      </c>
    </row>
    <row r="24" spans="4:27">
      <c r="D24" s="89">
        <v>2</v>
      </c>
      <c r="E24" s="21">
        <f t="shared" si="11"/>
        <v>336534.81221409427</v>
      </c>
      <c r="F24" s="110">
        <f t="shared" si="12"/>
        <v>50099.108255451189</v>
      </c>
      <c r="G24" s="110">
        <f t="shared" si="13"/>
        <v>7475.3235663514379</v>
      </c>
      <c r="H24" s="110">
        <f t="shared" si="14"/>
        <v>487.2254839611972</v>
      </c>
      <c r="I24" s="21">
        <f t="shared" si="15"/>
        <v>509.36605051700906</v>
      </c>
      <c r="J24" s="110">
        <f t="shared" si="16"/>
        <v>75.828068836661402</v>
      </c>
      <c r="K24" s="110">
        <f t="shared" si="17"/>
        <v>11.314360069551483</v>
      </c>
      <c r="L24" s="120">
        <f t="shared" si="18"/>
        <v>0.73744561177424484</v>
      </c>
      <c r="M24" s="21">
        <f t="shared" si="19"/>
        <v>56</v>
      </c>
      <c r="N24" s="92">
        <f t="shared" si="20"/>
        <v>1792</v>
      </c>
      <c r="O24" s="93">
        <f t="shared" si="21"/>
        <v>2.074074074074074E-2</v>
      </c>
      <c r="P24" s="96">
        <f t="shared" si="22"/>
        <v>2682.7755520000005</v>
      </c>
      <c r="Q24" s="93">
        <f t="shared" si="23"/>
        <v>3.105064296296297E-2</v>
      </c>
      <c r="R24" s="97">
        <f t="shared" si="24"/>
        <v>0.66796493603949458</v>
      </c>
      <c r="T24" s="34">
        <f t="shared" si="25"/>
        <v>180.14646400000001</v>
      </c>
      <c r="U24" s="34">
        <f t="shared" si="26"/>
        <v>164.80347200000003</v>
      </c>
      <c r="V24" s="34">
        <f t="shared" ref="V24:V29" si="29">IF(D24&lt;0,T24,U24)</f>
        <v>164.80347200000003</v>
      </c>
      <c r="W24" s="34">
        <f t="shared" si="27"/>
        <v>165.90347200000002</v>
      </c>
      <c r="X24" s="34">
        <f t="shared" si="28"/>
        <v>2682.7755520000005</v>
      </c>
    </row>
    <row r="25" spans="4:27">
      <c r="D25" s="89">
        <v>4</v>
      </c>
      <c r="E25" s="21">
        <f t="shared" si="11"/>
        <v>673069.62442818854</v>
      </c>
      <c r="F25" s="110">
        <f t="shared" si="12"/>
        <v>100198.21651090238</v>
      </c>
      <c r="G25" s="110">
        <f t="shared" si="13"/>
        <v>14950.647132702876</v>
      </c>
      <c r="H25" s="110">
        <f t="shared" si="14"/>
        <v>974.4509679223944</v>
      </c>
      <c r="I25" s="21">
        <f t="shared" si="15"/>
        <v>1018.7321010340181</v>
      </c>
      <c r="J25" s="110">
        <f t="shared" si="16"/>
        <v>151.6561376733228</v>
      </c>
      <c r="K25" s="110">
        <f t="shared" si="17"/>
        <v>22.628720139102967</v>
      </c>
      <c r="L25" s="120">
        <f t="shared" si="18"/>
        <v>1.4748912235484897</v>
      </c>
      <c r="M25" s="21">
        <f t="shared" si="19"/>
        <v>28</v>
      </c>
      <c r="N25" s="92">
        <f t="shared" si="20"/>
        <v>1792</v>
      </c>
      <c r="O25" s="93">
        <f t="shared" si="21"/>
        <v>2.074074074074074E-2</v>
      </c>
      <c r="P25" s="96">
        <f t="shared" si="22"/>
        <v>2262.7477760000002</v>
      </c>
      <c r="Q25" s="93">
        <f t="shared" si="23"/>
        <v>2.6189210370370371E-2</v>
      </c>
      <c r="R25" s="97">
        <f t="shared" si="24"/>
        <v>0.79195746826357716</v>
      </c>
      <c r="T25" s="34">
        <f t="shared" si="25"/>
        <v>146.223232</v>
      </c>
      <c r="U25" s="34">
        <f t="shared" si="26"/>
        <v>138.55173600000001</v>
      </c>
      <c r="V25" s="34">
        <f t="shared" si="29"/>
        <v>138.55173600000001</v>
      </c>
      <c r="W25" s="34">
        <f t="shared" si="27"/>
        <v>139.651736</v>
      </c>
      <c r="X25" s="34">
        <f t="shared" si="28"/>
        <v>2262.7477760000002</v>
      </c>
    </row>
    <row r="26" spans="4:27">
      <c r="D26" s="89">
        <v>8</v>
      </c>
      <c r="E26" s="21">
        <f t="shared" si="11"/>
        <v>1346139.2488563771</v>
      </c>
      <c r="F26" s="110">
        <f t="shared" si="12"/>
        <v>200396.43302180475</v>
      </c>
      <c r="G26" s="110">
        <f t="shared" si="13"/>
        <v>29901.294265405752</v>
      </c>
      <c r="H26" s="110">
        <f t="shared" si="14"/>
        <v>1948.9019358447888</v>
      </c>
      <c r="I26" s="21">
        <f t="shared" si="15"/>
        <v>2037.4642020680362</v>
      </c>
      <c r="J26" s="110">
        <f t="shared" si="16"/>
        <v>303.31227534664561</v>
      </c>
      <c r="K26" s="110">
        <f t="shared" si="17"/>
        <v>45.257440278205934</v>
      </c>
      <c r="L26" s="120">
        <f t="shared" si="18"/>
        <v>2.9497824470969793</v>
      </c>
      <c r="M26" s="21">
        <f t="shared" si="19"/>
        <v>14</v>
      </c>
      <c r="N26" s="92">
        <f t="shared" si="20"/>
        <v>1792</v>
      </c>
      <c r="O26" s="93">
        <f t="shared" si="21"/>
        <v>2.074074074074074E-2</v>
      </c>
      <c r="P26" s="96">
        <f t="shared" si="22"/>
        <v>2052.7338879999998</v>
      </c>
      <c r="Q26" s="93">
        <f t="shared" si="23"/>
        <v>2.3758494074074071E-2</v>
      </c>
      <c r="R26" s="97">
        <f t="shared" si="24"/>
        <v>0.87298212908930173</v>
      </c>
      <c r="T26" s="34">
        <f t="shared" si="25"/>
        <v>129.261616</v>
      </c>
      <c r="U26" s="34">
        <f t="shared" si="26"/>
        <v>125.42586799999999</v>
      </c>
      <c r="V26" s="34">
        <f t="shared" si="29"/>
        <v>125.42586799999999</v>
      </c>
      <c r="W26" s="34">
        <f t="shared" si="27"/>
        <v>126.52586799999999</v>
      </c>
      <c r="X26" s="34">
        <f t="shared" si="28"/>
        <v>2052.7338879999998</v>
      </c>
    </row>
    <row r="27" spans="4:27">
      <c r="D27" s="89">
        <v>16</v>
      </c>
      <c r="E27" s="21">
        <f t="shared" si="11"/>
        <v>2692278.4977127542</v>
      </c>
      <c r="F27" s="110">
        <f t="shared" si="12"/>
        <v>400792.86604360951</v>
      </c>
      <c r="G27" s="110">
        <f t="shared" si="13"/>
        <v>59802.588530811503</v>
      </c>
      <c r="H27" s="110">
        <f t="shared" si="14"/>
        <v>3897.8038716895776</v>
      </c>
      <c r="I27" s="21">
        <f t="shared" si="15"/>
        <v>4074.9284041360725</v>
      </c>
      <c r="J27" s="110">
        <f t="shared" si="16"/>
        <v>606.62455069329121</v>
      </c>
      <c r="K27" s="110">
        <f t="shared" si="17"/>
        <v>90.514880556411867</v>
      </c>
      <c r="L27" s="120">
        <f t="shared" si="18"/>
        <v>5.8995648941939587</v>
      </c>
      <c r="M27" s="21">
        <f t="shared" si="19"/>
        <v>7</v>
      </c>
      <c r="N27" s="92">
        <f t="shared" si="20"/>
        <v>1792</v>
      </c>
      <c r="O27" s="93">
        <f t="shared" si="21"/>
        <v>2.074074074074074E-2</v>
      </c>
      <c r="P27" s="96">
        <f t="shared" si="22"/>
        <v>1947.7269439999998</v>
      </c>
      <c r="Q27" s="93">
        <f t="shared" si="23"/>
        <v>2.2543135925925922E-2</v>
      </c>
      <c r="R27" s="97">
        <f t="shared" si="24"/>
        <v>0.92004682972645691</v>
      </c>
      <c r="T27" s="34">
        <f t="shared" si="25"/>
        <v>120.78080799999999</v>
      </c>
      <c r="U27" s="34">
        <f t="shared" si="26"/>
        <v>118.862934</v>
      </c>
      <c r="V27" s="34">
        <f t="shared" si="29"/>
        <v>118.862934</v>
      </c>
      <c r="W27" s="34">
        <f t="shared" si="27"/>
        <v>119.96293399999999</v>
      </c>
      <c r="X27" s="34">
        <f t="shared" si="28"/>
        <v>1947.7269439999998</v>
      </c>
    </row>
    <row r="28" spans="4:27">
      <c r="D28" s="89">
        <v>32</v>
      </c>
      <c r="E28" s="21">
        <f t="shared" si="11"/>
        <v>5384556.9954255084</v>
      </c>
      <c r="F28" s="110">
        <f t="shared" si="12"/>
        <v>801585.73208721902</v>
      </c>
      <c r="G28" s="110">
        <f t="shared" si="13"/>
        <v>119605.17706162301</v>
      </c>
      <c r="H28" s="110">
        <f t="shared" si="14"/>
        <v>7795.6077433791552</v>
      </c>
      <c r="I28" s="21">
        <f t="shared" si="15"/>
        <v>8149.8568082721449</v>
      </c>
      <c r="J28" s="110">
        <f t="shared" si="16"/>
        <v>1213.2491013865824</v>
      </c>
      <c r="K28" s="110">
        <f t="shared" si="17"/>
        <v>181.02976111282373</v>
      </c>
      <c r="L28" s="120">
        <f t="shared" si="18"/>
        <v>11.799129788387917</v>
      </c>
      <c r="M28" s="21">
        <f t="shared" si="19"/>
        <v>4</v>
      </c>
      <c r="N28" s="92">
        <f t="shared" si="20"/>
        <v>2048</v>
      </c>
      <c r="O28" s="93">
        <f t="shared" si="21"/>
        <v>2.3703703703703703E-2</v>
      </c>
      <c r="P28" s="96">
        <f t="shared" si="22"/>
        <v>2158.7239680000002</v>
      </c>
      <c r="Q28" s="93">
        <f t="shared" si="23"/>
        <v>2.4985231111111113E-2</v>
      </c>
      <c r="R28" s="97">
        <f t="shared" si="24"/>
        <v>0.94870860302598903</v>
      </c>
      <c r="T28" s="34">
        <f t="shared" si="25"/>
        <v>133.14617600000003</v>
      </c>
      <c r="U28" s="34">
        <f t="shared" si="26"/>
        <v>132.05024800000001</v>
      </c>
      <c r="V28" s="34">
        <f t="shared" si="29"/>
        <v>132.05024800000001</v>
      </c>
      <c r="W28" s="34">
        <f t="shared" si="27"/>
        <v>133.150248</v>
      </c>
      <c r="X28" s="34">
        <f t="shared" si="28"/>
        <v>2158.7239680000002</v>
      </c>
      <c r="Y28" s="36"/>
      <c r="Z28" s="36"/>
      <c r="AA28" s="37"/>
    </row>
    <row r="29" spans="4:27" ht="16" thickBot="1">
      <c r="D29" s="90">
        <v>64</v>
      </c>
      <c r="E29" s="27">
        <f t="shared" si="11"/>
        <v>10769113.990851017</v>
      </c>
      <c r="F29" s="114">
        <f t="shared" si="12"/>
        <v>1603171.464174438</v>
      </c>
      <c r="G29" s="114">
        <f t="shared" si="13"/>
        <v>239210.35412324601</v>
      </c>
      <c r="H29" s="114">
        <f t="shared" si="14"/>
        <v>15591.21548675831</v>
      </c>
      <c r="I29" s="27">
        <f t="shared" si="15"/>
        <v>16299.71361654429</v>
      </c>
      <c r="J29" s="114">
        <f t="shared" si="16"/>
        <v>2426.4982027731648</v>
      </c>
      <c r="K29" s="114">
        <f t="shared" si="17"/>
        <v>362.05952222564747</v>
      </c>
      <c r="L29" s="121">
        <f t="shared" si="18"/>
        <v>23.598259576775835</v>
      </c>
      <c r="M29" s="27">
        <f t="shared" si="19"/>
        <v>2</v>
      </c>
      <c r="N29" s="94">
        <f t="shared" si="20"/>
        <v>2048</v>
      </c>
      <c r="O29" s="95">
        <f t="shared" si="21"/>
        <v>2.3703703703703703E-2</v>
      </c>
      <c r="P29" s="98">
        <f t="shared" si="22"/>
        <v>2128.7219840000002</v>
      </c>
      <c r="Q29" s="95">
        <f t="shared" si="23"/>
        <v>2.4637985925925927E-2</v>
      </c>
      <c r="R29" s="99">
        <f t="shared" si="24"/>
        <v>0.96207960240617296</v>
      </c>
      <c r="T29" s="34">
        <f t="shared" si="25"/>
        <v>130.72308800000002</v>
      </c>
      <c r="U29" s="34">
        <f t="shared" si="26"/>
        <v>130.17512400000001</v>
      </c>
      <c r="V29" s="34">
        <f t="shared" si="29"/>
        <v>130.17512400000001</v>
      </c>
      <c r="W29" s="34">
        <f t="shared" si="27"/>
        <v>131.27512400000001</v>
      </c>
      <c r="X29" s="34">
        <f t="shared" si="28"/>
        <v>2128.7219840000002</v>
      </c>
      <c r="Y29" s="36"/>
      <c r="Z29" s="36"/>
      <c r="AA29" s="37"/>
    </row>
    <row r="30" spans="4:27">
      <c r="D30" s="13"/>
      <c r="E30" s="14"/>
      <c r="F30" s="13"/>
      <c r="G30" s="13"/>
      <c r="H30" s="14"/>
      <c r="I30" s="14"/>
      <c r="J30" s="14"/>
      <c r="K30" s="14"/>
      <c r="L30" s="14"/>
      <c r="M30" s="14"/>
      <c r="N30" s="14"/>
    </row>
    <row r="31" spans="4:27">
      <c r="E31"/>
      <c r="F31" s="1"/>
      <c r="H31"/>
    </row>
    <row r="32" spans="4:27">
      <c r="E32"/>
      <c r="F32" s="1"/>
      <c r="H32"/>
    </row>
    <row r="33" spans="1:24" s="91" customFormat="1" ht="20">
      <c r="A33" s="56" t="s">
        <v>86</v>
      </c>
      <c r="B33" s="56"/>
      <c r="C33" s="56"/>
      <c r="D33" s="56"/>
      <c r="E33" s="56"/>
      <c r="F33" s="56"/>
      <c r="G33" s="56"/>
      <c r="H33" s="56"/>
      <c r="I33" s="56"/>
      <c r="J33" s="56"/>
      <c r="K33" s="56"/>
      <c r="L33" s="56"/>
      <c r="M33" s="56"/>
      <c r="N33" s="56"/>
      <c r="O33" s="56"/>
      <c r="P33" s="56"/>
      <c r="Q33" s="56"/>
      <c r="R33" s="56"/>
      <c r="S33" s="56"/>
      <c r="T33" s="56"/>
      <c r="U33" s="56"/>
      <c r="V33" s="56"/>
      <c r="W33" s="56"/>
      <c r="X33" s="56"/>
    </row>
    <row r="34" spans="1:24">
      <c r="D34"/>
      <c r="E34"/>
      <c r="G34"/>
      <c r="H34"/>
    </row>
    <row r="36" spans="1:24">
      <c r="A36" s="51" t="s">
        <v>4</v>
      </c>
      <c r="B36" s="44"/>
      <c r="C36" s="44"/>
      <c r="D36" s="45"/>
      <c r="E36" s="45"/>
      <c r="F36" s="47"/>
      <c r="G36" s="47"/>
      <c r="H36" s="47"/>
      <c r="I36" s="18" t="s">
        <v>19</v>
      </c>
      <c r="J36" s="35">
        <v>20000</v>
      </c>
      <c r="K36" s="14" t="s">
        <v>39</v>
      </c>
    </row>
    <row r="37" spans="1:24">
      <c r="A37" s="47" t="s">
        <v>5</v>
      </c>
      <c r="B37" s="46" t="s">
        <v>91</v>
      </c>
      <c r="C37" s="46" t="s">
        <v>92</v>
      </c>
      <c r="D37" s="47">
        <v>0</v>
      </c>
      <c r="E37" s="47">
        <v>0</v>
      </c>
      <c r="F37" s="47"/>
      <c r="G37" s="47"/>
      <c r="H37" s="47"/>
      <c r="I37" s="9"/>
      <c r="J37" s="29"/>
      <c r="K37" s="14"/>
    </row>
    <row r="38" spans="1:24">
      <c r="A38" s="47" t="s">
        <v>16</v>
      </c>
      <c r="B38" s="46" t="s">
        <v>91</v>
      </c>
      <c r="C38" s="46" t="s">
        <v>92</v>
      </c>
      <c r="D38" s="47">
        <v>0.82720000000000005</v>
      </c>
      <c r="E38" s="47">
        <v>0.85299999999999998</v>
      </c>
      <c r="F38" s="47"/>
      <c r="G38" s="47"/>
      <c r="H38" s="47"/>
      <c r="I38" s="30" t="s">
        <v>71</v>
      </c>
      <c r="J38" s="30"/>
      <c r="K38" s="14"/>
    </row>
    <row r="39" spans="1:24">
      <c r="A39" s="47" t="s">
        <v>17</v>
      </c>
      <c r="B39" s="46" t="s">
        <v>91</v>
      </c>
      <c r="C39" s="46" t="s">
        <v>92</v>
      </c>
      <c r="D39" s="47">
        <v>1.6543000000000001</v>
      </c>
      <c r="E39" s="47">
        <v>1.6534</v>
      </c>
      <c r="F39" s="47"/>
      <c r="G39" s="47"/>
      <c r="H39" s="47"/>
      <c r="I39" s="28" t="s">
        <v>22</v>
      </c>
      <c r="J39" s="29">
        <v>7</v>
      </c>
      <c r="K39" s="14"/>
    </row>
    <row r="40" spans="1:24">
      <c r="A40" s="47" t="s">
        <v>18</v>
      </c>
      <c r="B40" s="46" t="s">
        <v>91</v>
      </c>
      <c r="C40" s="46" t="s">
        <v>92</v>
      </c>
      <c r="D40" s="47">
        <v>2.8542000000000001</v>
      </c>
      <c r="E40" s="47">
        <v>2.8393000000000002</v>
      </c>
      <c r="F40" s="47"/>
      <c r="G40" s="47"/>
      <c r="H40" s="47"/>
      <c r="I40" s="28" t="s">
        <v>23</v>
      </c>
      <c r="J40" s="29">
        <v>50</v>
      </c>
      <c r="K40" s="14"/>
    </row>
    <row r="41" spans="1:24">
      <c r="A41" s="47"/>
      <c r="B41" s="46"/>
      <c r="C41" s="46"/>
      <c r="D41" s="47"/>
      <c r="E41" s="47"/>
      <c r="F41" s="47"/>
      <c r="G41" s="47"/>
      <c r="H41" s="47"/>
      <c r="I41" s="28" t="s">
        <v>18</v>
      </c>
      <c r="J41" s="29">
        <v>780</v>
      </c>
      <c r="K41" s="14"/>
    </row>
    <row r="42" spans="1:24">
      <c r="A42" s="52" t="s">
        <v>85</v>
      </c>
      <c r="B42" s="108"/>
      <c r="C42" s="108"/>
      <c r="D42" s="47"/>
      <c r="E42" s="47"/>
      <c r="F42" s="47"/>
      <c r="G42" s="47"/>
      <c r="H42" s="47"/>
      <c r="I42" s="28" t="s">
        <v>98</v>
      </c>
      <c r="J42" s="29">
        <v>18.2</v>
      </c>
      <c r="K42" s="14" t="s">
        <v>95</v>
      </c>
    </row>
    <row r="43" spans="1:24">
      <c r="A43" s="47" t="s">
        <v>51</v>
      </c>
      <c r="B43" s="47">
        <v>4.8</v>
      </c>
      <c r="C43" s="47" t="s">
        <v>40</v>
      </c>
      <c r="D43" s="47"/>
      <c r="E43" s="47"/>
      <c r="F43" s="47"/>
      <c r="G43" s="47"/>
      <c r="H43" s="47"/>
      <c r="I43" s="28" t="s">
        <v>99</v>
      </c>
      <c r="J43" s="29">
        <v>11.4</v>
      </c>
    </row>
    <row r="44" spans="1:24">
      <c r="A44" s="47" t="s">
        <v>53</v>
      </c>
      <c r="B44" s="47">
        <v>1.77</v>
      </c>
      <c r="C44" s="47" t="s">
        <v>40</v>
      </c>
      <c r="D44" s="47"/>
      <c r="E44" s="47"/>
      <c r="F44" s="47"/>
      <c r="G44" s="47"/>
      <c r="H44" s="47"/>
      <c r="I44" s="28" t="s">
        <v>73</v>
      </c>
      <c r="J44" s="40">
        <v>4.0000000000000001E-3</v>
      </c>
      <c r="K44" s="14" t="s">
        <v>96</v>
      </c>
    </row>
    <row r="45" spans="1:24">
      <c r="A45" s="47" t="s">
        <v>54</v>
      </c>
      <c r="B45" s="47">
        <v>1.1000000000000001</v>
      </c>
      <c r="C45" s="47" t="s">
        <v>40</v>
      </c>
      <c r="D45" s="47"/>
      <c r="E45" s="47"/>
      <c r="F45" s="47"/>
      <c r="G45" s="47"/>
      <c r="H45" s="47"/>
      <c r="I45" s="14"/>
      <c r="J45" s="57"/>
      <c r="K45" s="14"/>
      <c r="Q45" s="32"/>
      <c r="R45" s="32"/>
      <c r="S45" s="32"/>
      <c r="T45" s="32"/>
      <c r="U45" s="32"/>
      <c r="V45" s="32"/>
      <c r="W45" s="32"/>
      <c r="X45" s="32"/>
    </row>
    <row r="46" spans="1:24">
      <c r="A46" s="47"/>
      <c r="B46" s="47"/>
      <c r="C46" s="47"/>
      <c r="D46" s="47"/>
      <c r="E46" s="47"/>
      <c r="F46" s="47"/>
      <c r="G46" s="47"/>
      <c r="H46" s="47"/>
      <c r="I46" s="31" t="s">
        <v>72</v>
      </c>
      <c r="J46" s="42"/>
      <c r="K46" s="42"/>
      <c r="Q46" s="32"/>
      <c r="R46" s="32"/>
      <c r="S46" s="32"/>
      <c r="T46" s="32"/>
      <c r="U46" s="32"/>
      <c r="V46" s="32"/>
      <c r="W46" s="32"/>
      <c r="X46" s="32"/>
    </row>
    <row r="47" spans="1:24">
      <c r="A47" s="52" t="s">
        <v>84</v>
      </c>
      <c r="B47" s="53"/>
      <c r="C47" s="53"/>
      <c r="D47" s="53"/>
      <c r="E47" s="53"/>
      <c r="F47" s="53"/>
      <c r="G47" s="53"/>
      <c r="H47" s="47"/>
      <c r="I47" s="54"/>
      <c r="J47" s="54" t="s">
        <v>93</v>
      </c>
      <c r="K47" s="54"/>
      <c r="Q47" s="32"/>
      <c r="R47" s="32"/>
      <c r="S47" s="32"/>
      <c r="T47" s="32"/>
      <c r="U47" s="32"/>
      <c r="V47" s="32"/>
      <c r="W47" s="32"/>
      <c r="X47" s="32"/>
    </row>
    <row r="48" spans="1:24">
      <c r="A48" s="47"/>
      <c r="B48" s="47" t="s">
        <v>55</v>
      </c>
      <c r="C48" s="47" t="s">
        <v>56</v>
      </c>
      <c r="D48" s="47" t="s">
        <v>57</v>
      </c>
      <c r="E48" s="47" t="s">
        <v>58</v>
      </c>
      <c r="F48" s="47" t="s">
        <v>59</v>
      </c>
      <c r="G48" s="47" t="s">
        <v>60</v>
      </c>
      <c r="H48" s="47"/>
      <c r="I48" s="28" t="s">
        <v>2</v>
      </c>
      <c r="J48" s="58">
        <f>10^MIN(D37:E37)</f>
        <v>1</v>
      </c>
      <c r="K48" s="58"/>
      <c r="Q48" s="32"/>
      <c r="R48" s="32"/>
      <c r="S48" s="32"/>
      <c r="T48" s="32"/>
      <c r="U48" s="32"/>
      <c r="V48" s="32"/>
      <c r="W48" s="32"/>
      <c r="X48" s="32"/>
    </row>
    <row r="49" spans="1:26">
      <c r="A49" s="47" t="s">
        <v>49</v>
      </c>
      <c r="B49" s="47">
        <v>0.3</v>
      </c>
      <c r="C49" s="47">
        <v>7.3800000000000004E-2</v>
      </c>
      <c r="D49" s="49">
        <v>0.83774400000000004</v>
      </c>
      <c r="E49" s="47">
        <v>0</v>
      </c>
      <c r="F49" s="47">
        <v>0</v>
      </c>
      <c r="G49" s="50">
        <v>0.3</v>
      </c>
      <c r="H49" s="48"/>
      <c r="I49" s="28" t="s">
        <v>22</v>
      </c>
      <c r="J49" s="58">
        <f>10^MIN(D38:E38)</f>
        <v>6.7173812854738095</v>
      </c>
      <c r="K49" s="58"/>
      <c r="Q49" s="32"/>
      <c r="R49" s="32"/>
      <c r="S49" s="32"/>
      <c r="T49" s="32"/>
      <c r="U49" s="32"/>
      <c r="V49" s="32"/>
      <c r="W49" s="32"/>
      <c r="X49" s="32"/>
    </row>
    <row r="50" spans="1:26">
      <c r="A50" s="47" t="s">
        <v>50</v>
      </c>
      <c r="B50" s="47">
        <v>0.3</v>
      </c>
      <c r="C50" s="47">
        <v>0</v>
      </c>
      <c r="D50" s="49">
        <v>1.6713899999999999</v>
      </c>
      <c r="E50" s="47">
        <v>0</v>
      </c>
      <c r="F50" s="47">
        <v>0</v>
      </c>
      <c r="G50" s="50">
        <v>0</v>
      </c>
      <c r="H50" s="47"/>
      <c r="I50" s="28" t="s">
        <v>23</v>
      </c>
      <c r="J50" s="58">
        <f>10^MIN(D39:E39)</f>
        <v>45.019430828243124</v>
      </c>
      <c r="K50" s="58"/>
      <c r="Q50" s="32"/>
      <c r="R50" s="32"/>
      <c r="S50" s="32"/>
      <c r="T50" s="32"/>
      <c r="U50" s="32"/>
      <c r="V50" s="32"/>
      <c r="W50" s="32"/>
      <c r="X50" s="32"/>
    </row>
    <row r="51" spans="1:26">
      <c r="A51" s="47" t="s">
        <v>52</v>
      </c>
      <c r="B51" s="47">
        <v>0.3</v>
      </c>
      <c r="C51" s="47">
        <v>0</v>
      </c>
      <c r="D51" s="49">
        <v>0.83756200000000003</v>
      </c>
      <c r="E51" s="47">
        <v>0</v>
      </c>
      <c r="F51" s="47">
        <v>0</v>
      </c>
      <c r="G51" s="50">
        <v>0.1</v>
      </c>
      <c r="H51" s="47"/>
      <c r="I51" s="28" t="s">
        <v>18</v>
      </c>
      <c r="J51" s="58">
        <f>10^MIN(D40:E40)</f>
        <v>690.71676932419246</v>
      </c>
      <c r="K51" s="58"/>
      <c r="Q51" s="32"/>
      <c r="R51" s="32"/>
      <c r="S51" s="32"/>
      <c r="T51" s="32"/>
      <c r="U51" s="32"/>
      <c r="V51" s="32"/>
      <c r="W51" s="32"/>
      <c r="X51" s="32"/>
    </row>
    <row r="52" spans="1:26">
      <c r="B52" s="1"/>
      <c r="C52" s="1"/>
      <c r="D52"/>
      <c r="E52"/>
      <c r="G52"/>
      <c r="H52" s="47"/>
      <c r="I52" s="28" t="s">
        <v>98</v>
      </c>
      <c r="J52" s="29">
        <v>18.600000000000001</v>
      </c>
      <c r="K52" s="29"/>
      <c r="Q52" s="39"/>
      <c r="R52" s="39"/>
      <c r="S52" s="39"/>
      <c r="T52" s="32"/>
      <c r="U52" s="32"/>
      <c r="V52" s="32"/>
      <c r="W52" s="32"/>
      <c r="X52" s="32"/>
    </row>
    <row r="53" spans="1:26">
      <c r="A53" s="52" t="s">
        <v>100</v>
      </c>
      <c r="B53" s="53"/>
      <c r="C53" s="53"/>
      <c r="D53" s="53"/>
      <c r="E53" s="53"/>
      <c r="F53" s="53"/>
      <c r="G53" s="53"/>
      <c r="H53" s="47"/>
      <c r="I53" s="28" t="s">
        <v>99</v>
      </c>
      <c r="J53" s="1">
        <v>11.55</v>
      </c>
      <c r="K53" s="59"/>
      <c r="Q53" s="34"/>
      <c r="R53" s="34"/>
      <c r="S53" s="34"/>
      <c r="T53" s="34"/>
      <c r="U53" s="32"/>
      <c r="V53" s="32"/>
      <c r="W53" s="32"/>
      <c r="X53" s="36"/>
      <c r="Y53" s="36"/>
      <c r="Z53" s="37"/>
    </row>
    <row r="54" spans="1:26">
      <c r="A54" s="47"/>
      <c r="B54" s="47" t="s">
        <v>55</v>
      </c>
      <c r="C54" s="47" t="s">
        <v>56</v>
      </c>
      <c r="D54" s="47" t="s">
        <v>57</v>
      </c>
      <c r="E54" s="47" t="s">
        <v>58</v>
      </c>
      <c r="F54" s="47" t="s">
        <v>59</v>
      </c>
      <c r="G54" s="47" t="s">
        <v>60</v>
      </c>
      <c r="L54" s="32"/>
      <c r="M54" s="32"/>
      <c r="N54" s="28"/>
      <c r="O54" s="59"/>
      <c r="P54" s="34"/>
      <c r="Q54" s="34"/>
      <c r="R54" s="34"/>
      <c r="S54" s="34"/>
      <c r="T54" s="34"/>
      <c r="U54" s="32"/>
      <c r="V54" s="32"/>
      <c r="W54" s="32"/>
      <c r="X54" s="36"/>
      <c r="Y54" s="36"/>
      <c r="Z54" s="37"/>
    </row>
    <row r="55" spans="1:26">
      <c r="A55" s="47" t="s">
        <v>49</v>
      </c>
      <c r="B55" s="47">
        <v>0.3</v>
      </c>
      <c r="C55" s="47">
        <v>7.3800000000000004E-2</v>
      </c>
      <c r="D55" s="49">
        <v>1.65073</v>
      </c>
      <c r="E55" s="47">
        <v>0</v>
      </c>
      <c r="F55" s="47">
        <v>0</v>
      </c>
      <c r="G55" s="50">
        <v>0.2</v>
      </c>
      <c r="L55" s="32"/>
      <c r="M55" s="32"/>
      <c r="N55" s="34"/>
      <c r="O55" s="34"/>
      <c r="P55" s="34"/>
      <c r="Q55" s="34"/>
      <c r="R55" s="34"/>
      <c r="S55" s="34"/>
      <c r="T55" s="34"/>
      <c r="U55" s="32"/>
      <c r="V55" s="32"/>
      <c r="W55" s="32"/>
      <c r="X55" s="36"/>
      <c r="Y55" s="36"/>
      <c r="Z55" s="37"/>
    </row>
    <row r="56" spans="1:26">
      <c r="A56" s="47" t="s">
        <v>52</v>
      </c>
      <c r="B56" s="47">
        <v>0.3</v>
      </c>
      <c r="C56" s="47">
        <v>0</v>
      </c>
      <c r="D56" s="49">
        <v>1.65073</v>
      </c>
      <c r="E56" s="47">
        <v>0</v>
      </c>
      <c r="F56" s="47">
        <v>0</v>
      </c>
      <c r="G56" s="50">
        <v>0.2</v>
      </c>
    </row>
  </sheetData>
  <mergeCells count="3">
    <mergeCell ref="D2:E2"/>
    <mergeCell ref="A9:B9"/>
    <mergeCell ref="A10:B10"/>
  </mergeCells>
  <conditionalFormatting sqref="E8:L13 E23:L29">
    <cfRule type="colorScale" priority="3">
      <colorScale>
        <cfvo type="num" val="$J$36"/>
        <cfvo type="num" val="$J$36"/>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B4" sqref="B4"/>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4"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4" s="33" customFormat="1" ht="21" thickBot="1">
      <c r="A2" s="3"/>
      <c r="B2" s="3"/>
      <c r="C2" s="3"/>
      <c r="D2" s="159" t="s">
        <v>72</v>
      </c>
      <c r="E2" s="160"/>
      <c r="F2" s="160"/>
      <c r="G2" s="160"/>
      <c r="H2" s="160"/>
      <c r="I2" s="160"/>
      <c r="J2" s="160"/>
      <c r="K2" s="160"/>
      <c r="L2" s="160"/>
      <c r="M2" s="160"/>
      <c r="N2" s="160"/>
      <c r="O2" s="160"/>
      <c r="P2" s="160"/>
      <c r="Q2" s="160"/>
      <c r="R2" s="161"/>
      <c r="S2" s="32"/>
      <c r="T2" s="32"/>
      <c r="U2" s="32"/>
      <c r="V2" s="32"/>
      <c r="W2" s="32"/>
      <c r="X2" s="32"/>
    </row>
    <row r="3" spans="1:24" s="33" customFormat="1">
      <c r="A3" s="8" t="s">
        <v>74</v>
      </c>
      <c r="B3" s="122">
        <v>1800</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4">
      <c r="A4" s="8" t="s">
        <v>76</v>
      </c>
      <c r="B4" s="122">
        <v>1</v>
      </c>
      <c r="C4" s="3"/>
      <c r="D4" s="12" t="s">
        <v>12</v>
      </c>
      <c r="E4" s="123">
        <v>5.5350000000000001</v>
      </c>
      <c r="F4" s="14"/>
      <c r="G4" s="14" t="s">
        <v>37</v>
      </c>
      <c r="H4" s="13"/>
      <c r="I4" s="14"/>
      <c r="J4" s="14"/>
      <c r="K4" s="14"/>
      <c r="L4" s="14"/>
      <c r="M4" s="14"/>
      <c r="N4" s="14"/>
      <c r="O4" s="14"/>
      <c r="P4" s="40"/>
      <c r="Q4" s="40"/>
      <c r="R4" s="26"/>
      <c r="S4" s="32"/>
      <c r="T4" s="32"/>
      <c r="U4" s="32"/>
      <c r="V4" s="32"/>
      <c r="W4" s="32"/>
      <c r="X4" s="32"/>
    </row>
    <row r="5" spans="1:24" ht="16" thickBot="1">
      <c r="A5" s="20" t="s">
        <v>77</v>
      </c>
      <c r="B5" s="122">
        <v>4</v>
      </c>
      <c r="D5" s="12"/>
      <c r="E5" s="13"/>
      <c r="F5" s="14"/>
      <c r="G5" s="14" t="s">
        <v>15</v>
      </c>
      <c r="H5" s="22">
        <f>10^(0.4*(J30-$E$4))</f>
        <v>883079.9004185634</v>
      </c>
      <c r="I5" s="22">
        <f>10^(0.4*(J31-$E$4))</f>
        <v>1061.6955571987248</v>
      </c>
      <c r="J5" s="14"/>
      <c r="K5" s="14"/>
      <c r="L5" s="14"/>
      <c r="M5" s="14"/>
      <c r="N5" s="14"/>
      <c r="O5" s="14"/>
      <c r="P5" s="40"/>
      <c r="Q5" s="40"/>
      <c r="R5" s="26"/>
      <c r="S5" s="32"/>
      <c r="T5" s="32"/>
      <c r="U5" s="32"/>
      <c r="V5" s="32"/>
      <c r="W5" s="32"/>
      <c r="X5" s="32"/>
    </row>
    <row r="6" spans="1:24" ht="16" thickBot="1">
      <c r="C6" s="55"/>
      <c r="D6" s="162" t="s">
        <v>109</v>
      </c>
      <c r="E6" s="163"/>
      <c r="F6" s="163"/>
      <c r="G6" s="163"/>
      <c r="H6" s="163"/>
      <c r="I6" s="163"/>
      <c r="J6" s="163"/>
      <c r="K6" s="163"/>
      <c r="L6" s="163"/>
      <c r="M6" s="163"/>
      <c r="N6" s="163"/>
      <c r="O6" s="163"/>
      <c r="P6" s="163"/>
      <c r="Q6" s="163"/>
      <c r="R6" s="164"/>
      <c r="S6" s="32"/>
      <c r="T6" s="32"/>
      <c r="U6" s="32"/>
      <c r="V6" s="32"/>
      <c r="W6" s="32"/>
      <c r="X6" s="32"/>
    </row>
    <row r="7" spans="1:24">
      <c r="D7" s="87"/>
      <c r="E7" s="135" t="s">
        <v>35</v>
      </c>
      <c r="F7" s="136"/>
      <c r="G7" s="136"/>
      <c r="H7" s="137"/>
      <c r="I7" s="135" t="s">
        <v>36</v>
      </c>
      <c r="J7" s="136"/>
      <c r="K7" s="136"/>
      <c r="L7" s="137"/>
      <c r="M7" s="62"/>
      <c r="N7" s="62"/>
      <c r="O7" s="66"/>
      <c r="P7" s="67"/>
      <c r="Q7" s="66"/>
      <c r="R7" s="63"/>
      <c r="S7" s="32"/>
      <c r="T7" s="32"/>
      <c r="U7" s="32"/>
      <c r="V7" s="32"/>
      <c r="W7" s="32"/>
      <c r="X7" s="32"/>
    </row>
    <row r="8" spans="1:24" ht="16" thickBot="1">
      <c r="A8" s="3"/>
      <c r="B8" s="3"/>
      <c r="C8" s="3"/>
      <c r="D8" s="88" t="s">
        <v>20</v>
      </c>
      <c r="E8" s="77" t="s">
        <v>11</v>
      </c>
      <c r="F8" s="77" t="s">
        <v>16</v>
      </c>
      <c r="G8" s="77" t="s">
        <v>17</v>
      </c>
      <c r="H8" s="77" t="s">
        <v>18</v>
      </c>
      <c r="I8" s="150" t="s">
        <v>11</v>
      </c>
      <c r="J8" s="77" t="s">
        <v>16</v>
      </c>
      <c r="K8" s="77" t="s">
        <v>17</v>
      </c>
      <c r="L8" s="77" t="s">
        <v>18</v>
      </c>
      <c r="M8" s="150" t="s">
        <v>14</v>
      </c>
      <c r="N8" s="150" t="s">
        <v>82</v>
      </c>
      <c r="O8" s="151"/>
      <c r="P8" s="140" t="s">
        <v>83</v>
      </c>
      <c r="Q8" s="141"/>
      <c r="R8" s="78" t="s">
        <v>63</v>
      </c>
      <c r="S8" s="33"/>
      <c r="T8" s="79" t="s">
        <v>49</v>
      </c>
      <c r="U8" s="80" t="s">
        <v>52</v>
      </c>
      <c r="V8" s="80" t="s">
        <v>81</v>
      </c>
      <c r="W8" s="81" t="s">
        <v>61</v>
      </c>
      <c r="X8" s="81" t="s">
        <v>62</v>
      </c>
    </row>
    <row r="9" spans="1:24">
      <c r="A9" s="157" t="s">
        <v>90</v>
      </c>
      <c r="B9" s="157"/>
      <c r="C9" s="152"/>
      <c r="D9" s="89">
        <v>0.84</v>
      </c>
      <c r="E9" s="117">
        <f t="shared" ref="E9:E15" si="0">$H$5*D9</f>
        <v>741787.11635159317</v>
      </c>
      <c r="F9" s="118">
        <f t="shared" ref="F9:F15" si="1">$H$5*D9/$J$27</f>
        <v>72808.030964763297</v>
      </c>
      <c r="G9" s="118">
        <f t="shared" ref="G9:G15" si="2">$H$5*D9/$J$28</f>
        <v>6408.8378857568787</v>
      </c>
      <c r="H9" s="118">
        <f t="shared" ref="H9:H15" si="3">$H$5*D9/$J$29</f>
        <v>223.80989632889134</v>
      </c>
      <c r="I9" s="117">
        <f t="shared" ref="I9:I15" si="4">$I$5*D9</f>
        <v>891.82426804692886</v>
      </c>
      <c r="J9" s="118">
        <f t="shared" ref="J9:J15" si="5">$I$5*D9/$J$27</f>
        <v>87.534506183458205</v>
      </c>
      <c r="K9" s="118">
        <f t="shared" ref="K9:K15" si="6">$I$5*D9/$J$28</f>
        <v>7.7051178572741463</v>
      </c>
      <c r="L9" s="119">
        <f t="shared" ref="L9:L15" si="7">$I$5*D9/$J$29</f>
        <v>0.26907867847163625</v>
      </c>
      <c r="M9" s="21">
        <f t="shared" ref="M9:M15" si="8">ROUND($B$3/($B$4*D9*$B$5*$B$5),0)</f>
        <v>134</v>
      </c>
      <c r="N9" s="154">
        <f t="shared" ref="N9:N15" si="9">D9*M9*$B$4*$B$5^2</f>
        <v>1800.96</v>
      </c>
      <c r="O9" s="93">
        <f t="shared" ref="O9:O15" si="10">N9/(24*3600)</f>
        <v>2.0844444444444443E-2</v>
      </c>
      <c r="P9" s="96">
        <f t="shared" ref="P9:P15" si="11">X9</f>
        <v>3861.8129280000003</v>
      </c>
      <c r="Q9" s="93">
        <f t="shared" ref="Q9:Q15" si="12">P9/(24*3600)</f>
        <v>4.4696908888888894E-2</v>
      </c>
      <c r="R9" s="97">
        <f t="shared" ref="R9:R15" si="13">N9/P9</f>
        <v>0.46635091693390279</v>
      </c>
      <c r="T9" s="34">
        <f t="shared" ref="T9:T15" si="14">$B$35+M9*($C$35+$G$35+D9+$D$35)</f>
        <v>275.20689599999997</v>
      </c>
      <c r="U9" s="34">
        <f t="shared" ref="U9:U15" si="15">$B$37+M9*($G$37+D9+$D$37)</f>
        <v>238.49330800000001</v>
      </c>
      <c r="V9" s="34">
        <f>IF(D9&lt;0,T9,U9)</f>
        <v>238.49330800000001</v>
      </c>
      <c r="W9" s="34">
        <f t="shared" ref="W9:W15" si="16">(V9+$B$31)*$B$4</f>
        <v>239.59330800000001</v>
      </c>
      <c r="X9" s="34">
        <f t="shared" ref="X9:X15" si="17">(W9+$B$30)*$B$5^2</f>
        <v>3861.8129280000003</v>
      </c>
    </row>
    <row r="10" spans="1:24">
      <c r="A10" s="158" t="s">
        <v>89</v>
      </c>
      <c r="B10" s="158"/>
      <c r="D10" s="89">
        <v>2</v>
      </c>
      <c r="E10" s="21">
        <f t="shared" si="0"/>
        <v>1766159.8008371268</v>
      </c>
      <c r="F10" s="110">
        <f t="shared" si="1"/>
        <v>173352.4546780079</v>
      </c>
      <c r="G10" s="110">
        <f t="shared" si="2"/>
        <v>15259.137823230665</v>
      </c>
      <c r="H10" s="110">
        <f t="shared" si="3"/>
        <v>532.88070554497949</v>
      </c>
      <c r="I10" s="21">
        <f t="shared" si="4"/>
        <v>2123.3911143974497</v>
      </c>
      <c r="J10" s="110">
        <f t="shared" si="5"/>
        <v>208.41549091299572</v>
      </c>
      <c r="K10" s="110">
        <f t="shared" si="6"/>
        <v>18.345518707795584</v>
      </c>
      <c r="L10" s="120">
        <f t="shared" si="7"/>
        <v>0.64066352017056249</v>
      </c>
      <c r="M10" s="21">
        <f t="shared" si="8"/>
        <v>56</v>
      </c>
      <c r="N10" s="92">
        <f t="shared" si="9"/>
        <v>1792</v>
      </c>
      <c r="O10" s="93">
        <f t="shared" si="10"/>
        <v>2.074074074074074E-2</v>
      </c>
      <c r="P10" s="96">
        <f t="shared" si="11"/>
        <v>2682.7755520000005</v>
      </c>
      <c r="Q10" s="93">
        <f t="shared" si="12"/>
        <v>3.105064296296297E-2</v>
      </c>
      <c r="R10" s="97">
        <f t="shared" si="13"/>
        <v>0.66796493603949458</v>
      </c>
      <c r="T10" s="34">
        <f t="shared" si="14"/>
        <v>180.14646400000001</v>
      </c>
      <c r="U10" s="34">
        <f t="shared" si="15"/>
        <v>164.80347200000003</v>
      </c>
      <c r="V10" s="34">
        <f t="shared" ref="V10:V15" si="18">IF(D10&lt;0,T10,U10)</f>
        <v>164.80347200000003</v>
      </c>
      <c r="W10" s="34">
        <f t="shared" si="16"/>
        <v>165.90347200000002</v>
      </c>
      <c r="X10" s="34">
        <f t="shared" si="17"/>
        <v>2682.7755520000005</v>
      </c>
    </row>
    <row r="11" spans="1:24">
      <c r="D11" s="89">
        <v>4</v>
      </c>
      <c r="E11" s="21">
        <f t="shared" si="0"/>
        <v>3532319.6016742536</v>
      </c>
      <c r="F11" s="110">
        <f t="shared" si="1"/>
        <v>346704.90935601579</v>
      </c>
      <c r="G11" s="110">
        <f t="shared" si="2"/>
        <v>30518.27564646133</v>
      </c>
      <c r="H11" s="110">
        <f t="shared" si="3"/>
        <v>1065.761411089959</v>
      </c>
      <c r="I11" s="21">
        <f t="shared" si="4"/>
        <v>4246.7822287948993</v>
      </c>
      <c r="J11" s="110">
        <f t="shared" si="5"/>
        <v>416.83098182599144</v>
      </c>
      <c r="K11" s="110">
        <f t="shared" si="6"/>
        <v>36.691037415591168</v>
      </c>
      <c r="L11" s="120">
        <f t="shared" si="7"/>
        <v>1.281327040341125</v>
      </c>
      <c r="M11" s="21">
        <f t="shared" si="8"/>
        <v>28</v>
      </c>
      <c r="N11" s="92">
        <f t="shared" si="9"/>
        <v>1792</v>
      </c>
      <c r="O11" s="93">
        <f t="shared" si="10"/>
        <v>2.074074074074074E-2</v>
      </c>
      <c r="P11" s="96">
        <f t="shared" si="11"/>
        <v>2262.7477760000002</v>
      </c>
      <c r="Q11" s="93">
        <f t="shared" si="12"/>
        <v>2.6189210370370371E-2</v>
      </c>
      <c r="R11" s="97">
        <f t="shared" si="13"/>
        <v>0.79195746826357716</v>
      </c>
      <c r="T11" s="34">
        <f t="shared" si="14"/>
        <v>146.223232</v>
      </c>
      <c r="U11" s="34">
        <f t="shared" si="15"/>
        <v>138.55173600000001</v>
      </c>
      <c r="V11" s="34">
        <f t="shared" si="18"/>
        <v>138.55173600000001</v>
      </c>
      <c r="W11" s="34">
        <f t="shared" si="16"/>
        <v>139.651736</v>
      </c>
      <c r="X11" s="34">
        <f t="shared" si="17"/>
        <v>2262.7477760000002</v>
      </c>
    </row>
    <row r="12" spans="1:24">
      <c r="D12" s="89">
        <v>8</v>
      </c>
      <c r="E12" s="21">
        <f t="shared" si="0"/>
        <v>7064639.2033485072</v>
      </c>
      <c r="F12" s="110">
        <f t="shared" si="1"/>
        <v>693409.81871203159</v>
      </c>
      <c r="G12" s="110">
        <f t="shared" si="2"/>
        <v>61036.551292922661</v>
      </c>
      <c r="H12" s="110">
        <f t="shared" si="3"/>
        <v>2131.522822179918</v>
      </c>
      <c r="I12" s="21">
        <f t="shared" si="4"/>
        <v>8493.5644575897986</v>
      </c>
      <c r="J12" s="110">
        <f t="shared" si="5"/>
        <v>833.66196365198289</v>
      </c>
      <c r="K12" s="110">
        <f t="shared" si="6"/>
        <v>73.382074831182337</v>
      </c>
      <c r="L12" s="120">
        <f t="shared" si="7"/>
        <v>2.56265408068225</v>
      </c>
      <c r="M12" s="21">
        <f t="shared" si="8"/>
        <v>14</v>
      </c>
      <c r="N12" s="92">
        <f t="shared" si="9"/>
        <v>1792</v>
      </c>
      <c r="O12" s="93">
        <f t="shared" si="10"/>
        <v>2.074074074074074E-2</v>
      </c>
      <c r="P12" s="96">
        <f t="shared" si="11"/>
        <v>2052.7338879999998</v>
      </c>
      <c r="Q12" s="93">
        <f t="shared" si="12"/>
        <v>2.3758494074074071E-2</v>
      </c>
      <c r="R12" s="97">
        <f t="shared" si="13"/>
        <v>0.87298212908930173</v>
      </c>
      <c r="T12" s="34">
        <f t="shared" si="14"/>
        <v>129.261616</v>
      </c>
      <c r="U12" s="34">
        <f t="shared" si="15"/>
        <v>125.42586799999999</v>
      </c>
      <c r="V12" s="34">
        <f t="shared" si="18"/>
        <v>125.42586799999999</v>
      </c>
      <c r="W12" s="34">
        <f t="shared" si="16"/>
        <v>126.52586799999999</v>
      </c>
      <c r="X12" s="34">
        <f t="shared" si="17"/>
        <v>2052.7338879999998</v>
      </c>
    </row>
    <row r="13" spans="1:24">
      <c r="D13" s="89">
        <v>16</v>
      </c>
      <c r="E13" s="21">
        <f t="shared" si="0"/>
        <v>14129278.406697014</v>
      </c>
      <c r="F13" s="110">
        <f t="shared" si="1"/>
        <v>1386819.6374240632</v>
      </c>
      <c r="G13" s="110">
        <f t="shared" si="2"/>
        <v>122073.10258584532</v>
      </c>
      <c r="H13" s="110">
        <f t="shared" si="3"/>
        <v>4263.0456443598359</v>
      </c>
      <c r="I13" s="21">
        <f t="shared" si="4"/>
        <v>16987.128915179597</v>
      </c>
      <c r="J13" s="110">
        <f t="shared" si="5"/>
        <v>1667.3239273039658</v>
      </c>
      <c r="K13" s="110">
        <f t="shared" si="6"/>
        <v>146.76414966236467</v>
      </c>
      <c r="L13" s="120">
        <f t="shared" si="7"/>
        <v>5.1253081613645</v>
      </c>
      <c r="M13" s="21">
        <f t="shared" si="8"/>
        <v>7</v>
      </c>
      <c r="N13" s="92">
        <f t="shared" si="9"/>
        <v>1792</v>
      </c>
      <c r="O13" s="93">
        <f t="shared" si="10"/>
        <v>2.074074074074074E-2</v>
      </c>
      <c r="P13" s="96">
        <f t="shared" si="11"/>
        <v>1947.7269439999998</v>
      </c>
      <c r="Q13" s="93">
        <f t="shared" si="12"/>
        <v>2.2543135925925922E-2</v>
      </c>
      <c r="R13" s="97">
        <f t="shared" si="13"/>
        <v>0.92004682972645691</v>
      </c>
      <c r="T13" s="34">
        <f t="shared" si="14"/>
        <v>120.78080799999999</v>
      </c>
      <c r="U13" s="34">
        <f t="shared" si="15"/>
        <v>118.862934</v>
      </c>
      <c r="V13" s="34">
        <f t="shared" si="18"/>
        <v>118.862934</v>
      </c>
      <c r="W13" s="34">
        <f t="shared" si="16"/>
        <v>119.96293399999999</v>
      </c>
      <c r="X13" s="34">
        <f t="shared" si="17"/>
        <v>1947.7269439999998</v>
      </c>
    </row>
    <row r="14" spans="1:24">
      <c r="D14" s="89">
        <v>32</v>
      </c>
      <c r="E14" s="21">
        <f t="shared" si="0"/>
        <v>28258556.813394029</v>
      </c>
      <c r="F14" s="110">
        <f t="shared" si="1"/>
        <v>2773639.2748481263</v>
      </c>
      <c r="G14" s="110">
        <f t="shared" si="2"/>
        <v>244146.20517169064</v>
      </c>
      <c r="H14" s="110">
        <f t="shared" si="3"/>
        <v>8526.0912887196719</v>
      </c>
      <c r="I14" s="21">
        <f t="shared" si="4"/>
        <v>33974.257830359194</v>
      </c>
      <c r="J14" s="110">
        <f t="shared" si="5"/>
        <v>3334.6478546079315</v>
      </c>
      <c r="K14" s="110">
        <f t="shared" si="6"/>
        <v>293.52829932472935</v>
      </c>
      <c r="L14" s="120">
        <f t="shared" si="7"/>
        <v>10.250616322729</v>
      </c>
      <c r="M14" s="21">
        <f t="shared" si="8"/>
        <v>4</v>
      </c>
      <c r="N14" s="92">
        <f t="shared" si="9"/>
        <v>2048</v>
      </c>
      <c r="O14" s="93">
        <f t="shared" si="10"/>
        <v>2.3703703703703703E-2</v>
      </c>
      <c r="P14" s="96">
        <f t="shared" si="11"/>
        <v>2158.7239680000002</v>
      </c>
      <c r="Q14" s="93">
        <f t="shared" si="12"/>
        <v>2.4985231111111113E-2</v>
      </c>
      <c r="R14" s="97">
        <f t="shared" si="13"/>
        <v>0.94870860302598903</v>
      </c>
      <c r="T14" s="34">
        <f t="shared" si="14"/>
        <v>133.14617600000003</v>
      </c>
      <c r="U14" s="34">
        <f t="shared" si="15"/>
        <v>132.05024800000001</v>
      </c>
      <c r="V14" s="34">
        <f t="shared" si="18"/>
        <v>132.05024800000001</v>
      </c>
      <c r="W14" s="34">
        <f t="shared" si="16"/>
        <v>133.150248</v>
      </c>
      <c r="X14" s="34">
        <f t="shared" si="17"/>
        <v>2158.7239680000002</v>
      </c>
    </row>
    <row r="15" spans="1:24" ht="16" thickBot="1">
      <c r="D15" s="90">
        <v>64</v>
      </c>
      <c r="E15" s="27">
        <f t="shared" si="0"/>
        <v>56517113.626788057</v>
      </c>
      <c r="F15" s="114">
        <f t="shared" si="1"/>
        <v>5547278.5496962527</v>
      </c>
      <c r="G15" s="114">
        <f t="shared" si="2"/>
        <v>488292.41034338129</v>
      </c>
      <c r="H15" s="114">
        <f t="shared" si="3"/>
        <v>17052.182577439344</v>
      </c>
      <c r="I15" s="27">
        <f t="shared" si="4"/>
        <v>67948.515660718389</v>
      </c>
      <c r="J15" s="114">
        <f t="shared" si="5"/>
        <v>6669.2957092158631</v>
      </c>
      <c r="K15" s="114">
        <f t="shared" si="6"/>
        <v>587.05659864945869</v>
      </c>
      <c r="L15" s="121">
        <f t="shared" si="7"/>
        <v>20.501232645458</v>
      </c>
      <c r="M15" s="27">
        <f t="shared" si="8"/>
        <v>2</v>
      </c>
      <c r="N15" s="94">
        <f t="shared" si="9"/>
        <v>2048</v>
      </c>
      <c r="O15" s="95">
        <f t="shared" si="10"/>
        <v>2.3703703703703703E-2</v>
      </c>
      <c r="P15" s="98">
        <f t="shared" si="11"/>
        <v>2128.7219840000002</v>
      </c>
      <c r="Q15" s="95">
        <f t="shared" si="12"/>
        <v>2.4637985925925927E-2</v>
      </c>
      <c r="R15" s="99">
        <f t="shared" si="13"/>
        <v>0.96207960240617296</v>
      </c>
      <c r="T15" s="34">
        <f t="shared" si="14"/>
        <v>130.72308800000002</v>
      </c>
      <c r="U15" s="34">
        <f t="shared" si="15"/>
        <v>130.17512400000001</v>
      </c>
      <c r="V15" s="34">
        <f t="shared" si="18"/>
        <v>130.17512400000001</v>
      </c>
      <c r="W15" s="34">
        <f t="shared" si="16"/>
        <v>131.27512400000001</v>
      </c>
      <c r="X15" s="34">
        <f t="shared" si="17"/>
        <v>2128.7219840000002</v>
      </c>
    </row>
    <row r="16" spans="1:24">
      <c r="D16" s="13"/>
      <c r="E16" s="14"/>
      <c r="F16" s="13"/>
      <c r="G16" s="13"/>
      <c r="H16" s="14"/>
      <c r="I16" s="14"/>
      <c r="J16" s="14"/>
      <c r="K16" s="14"/>
      <c r="L16" s="14"/>
      <c r="M16" s="14"/>
      <c r="N16" s="14"/>
    </row>
    <row r="17" spans="1:24">
      <c r="E17"/>
      <c r="F17" s="1"/>
      <c r="H17"/>
    </row>
    <row r="18" spans="1:24">
      <c r="E18"/>
      <c r="F18" s="1"/>
      <c r="H18"/>
    </row>
    <row r="19" spans="1:24" s="91" customFormat="1" ht="20">
      <c r="A19" s="56" t="s">
        <v>86</v>
      </c>
      <c r="B19" s="56"/>
      <c r="C19" s="56"/>
      <c r="D19" s="56"/>
      <c r="E19" s="56"/>
      <c r="F19" s="56"/>
      <c r="G19" s="56"/>
      <c r="H19" s="56"/>
      <c r="I19" s="56"/>
      <c r="J19" s="56"/>
      <c r="K19" s="56"/>
      <c r="L19" s="56"/>
      <c r="M19" s="56"/>
      <c r="N19" s="56"/>
      <c r="O19" s="56"/>
      <c r="P19" s="56"/>
      <c r="Q19" s="56"/>
      <c r="R19" s="56"/>
      <c r="S19" s="56"/>
      <c r="T19" s="56"/>
      <c r="U19" s="56"/>
      <c r="V19" s="56"/>
      <c r="W19" s="56"/>
      <c r="X19" s="56"/>
    </row>
    <row r="20" spans="1:24">
      <c r="D20"/>
      <c r="E20"/>
      <c r="G20"/>
      <c r="H20"/>
    </row>
    <row r="22" spans="1:24">
      <c r="A22" s="51" t="s">
        <v>4</v>
      </c>
      <c r="B22" s="44"/>
      <c r="C22" s="44"/>
      <c r="D22" s="45"/>
      <c r="E22" s="45"/>
      <c r="F22" s="47"/>
      <c r="G22" s="47"/>
      <c r="H22" s="47"/>
      <c r="I22" s="18" t="s">
        <v>19</v>
      </c>
      <c r="J22" s="35">
        <v>20000</v>
      </c>
      <c r="K22" s="14" t="s">
        <v>39</v>
      </c>
    </row>
    <row r="23" spans="1:24">
      <c r="A23" s="47" t="s">
        <v>5</v>
      </c>
      <c r="B23" s="46" t="s">
        <v>105</v>
      </c>
      <c r="C23" s="46" t="s">
        <v>108</v>
      </c>
      <c r="D23" s="47">
        <v>0</v>
      </c>
      <c r="E23" s="47">
        <v>0</v>
      </c>
      <c r="F23" s="47"/>
      <c r="G23" s="47"/>
      <c r="H23" s="47"/>
      <c r="I23" s="9"/>
      <c r="J23" s="29"/>
      <c r="K23" s="14"/>
    </row>
    <row r="24" spans="1:24">
      <c r="A24" s="47" t="s">
        <v>16</v>
      </c>
      <c r="B24" s="46" t="s">
        <v>105</v>
      </c>
      <c r="C24" s="46" t="s">
        <v>108</v>
      </c>
      <c r="D24" s="47">
        <v>1.0081</v>
      </c>
      <c r="E24" s="47">
        <v>1.1091</v>
      </c>
      <c r="F24" s="47"/>
      <c r="G24" s="47"/>
      <c r="H24" s="47"/>
      <c r="I24" s="31" t="s">
        <v>72</v>
      </c>
      <c r="J24" s="42"/>
      <c r="K24" s="42"/>
    </row>
    <row r="25" spans="1:24">
      <c r="A25" s="47" t="s">
        <v>17</v>
      </c>
      <c r="B25" s="46" t="s">
        <v>105</v>
      </c>
      <c r="C25" s="46" t="s">
        <v>108</v>
      </c>
      <c r="D25" s="47">
        <v>2.0634999999999999</v>
      </c>
      <c r="E25" s="47">
        <v>2.2736000000000001</v>
      </c>
      <c r="F25" s="47"/>
      <c r="G25" s="47"/>
      <c r="H25" s="47"/>
      <c r="I25" s="54"/>
      <c r="J25" s="54" t="s">
        <v>109</v>
      </c>
      <c r="K25" s="54"/>
    </row>
    <row r="26" spans="1:24">
      <c r="A26" s="47" t="s">
        <v>18</v>
      </c>
      <c r="B26" s="46" t="s">
        <v>105</v>
      </c>
      <c r="C26" s="46" t="s">
        <v>108</v>
      </c>
      <c r="D26" s="47">
        <v>3.5204</v>
      </c>
      <c r="E26" s="47">
        <v>3.8767999999999998</v>
      </c>
      <c r="F26" s="47"/>
      <c r="G26" s="47"/>
      <c r="H26" s="47"/>
      <c r="I26" s="28" t="s">
        <v>2</v>
      </c>
      <c r="J26" s="58">
        <f>10^MIN(D23:E23)</f>
        <v>1</v>
      </c>
      <c r="K26" s="58"/>
    </row>
    <row r="27" spans="1:24">
      <c r="A27" s="47"/>
      <c r="B27" s="46"/>
      <c r="C27" s="46"/>
      <c r="D27" s="47"/>
      <c r="E27" s="47"/>
      <c r="F27" s="47"/>
      <c r="G27" s="47"/>
      <c r="H27" s="47"/>
      <c r="I27" s="28" t="s">
        <v>22</v>
      </c>
      <c r="J27" s="58">
        <f>10^MIN(D24:E24)</f>
        <v>10.18825954393127</v>
      </c>
      <c r="K27" s="58"/>
    </row>
    <row r="28" spans="1:24">
      <c r="A28" s="52" t="s">
        <v>85</v>
      </c>
      <c r="B28" s="131"/>
      <c r="C28" s="131"/>
      <c r="D28" s="47"/>
      <c r="E28" s="47"/>
      <c r="F28" s="47"/>
      <c r="G28" s="47"/>
      <c r="H28" s="47"/>
      <c r="I28" s="28" t="s">
        <v>23</v>
      </c>
      <c r="J28" s="58">
        <f>10^MIN(D25:E25)</f>
        <v>115.74440320922375</v>
      </c>
      <c r="K28" s="58"/>
    </row>
    <row r="29" spans="1:24">
      <c r="A29" s="47" t="s">
        <v>51</v>
      </c>
      <c r="B29" s="47">
        <v>4.8</v>
      </c>
      <c r="C29" s="47" t="s">
        <v>40</v>
      </c>
      <c r="D29" s="47"/>
      <c r="E29" s="47"/>
      <c r="F29" s="47"/>
      <c r="G29" s="47"/>
      <c r="H29" s="47"/>
      <c r="I29" s="28" t="s">
        <v>18</v>
      </c>
      <c r="J29" s="58">
        <f>10^MIN(D26:E26)</f>
        <v>3314.3624500925912</v>
      </c>
      <c r="K29" s="58"/>
    </row>
    <row r="30" spans="1:24">
      <c r="A30" s="47" t="s">
        <v>53</v>
      </c>
      <c r="B30" s="47">
        <v>1.77</v>
      </c>
      <c r="C30" s="47" t="s">
        <v>40</v>
      </c>
      <c r="D30" s="47"/>
      <c r="E30" s="47"/>
      <c r="F30" s="47"/>
      <c r="G30" s="47"/>
      <c r="H30" s="47"/>
      <c r="I30" s="28" t="s">
        <v>98</v>
      </c>
      <c r="J30" s="29">
        <v>20.399999999999999</v>
      </c>
      <c r="K30" s="29"/>
    </row>
    <row r="31" spans="1:24">
      <c r="A31" s="47" t="s">
        <v>54</v>
      </c>
      <c r="B31" s="47">
        <v>1.1000000000000001</v>
      </c>
      <c r="C31" s="47" t="s">
        <v>40</v>
      </c>
      <c r="D31" s="47"/>
      <c r="E31" s="47"/>
      <c r="F31" s="47"/>
      <c r="G31" s="47"/>
      <c r="H31" s="47"/>
      <c r="I31" s="28" t="s">
        <v>99</v>
      </c>
      <c r="J31" s="1">
        <v>13.1</v>
      </c>
      <c r="K31" s="59"/>
      <c r="Q31" s="32"/>
      <c r="R31" s="32"/>
      <c r="S31" s="32"/>
      <c r="T31" s="32"/>
      <c r="U31" s="32"/>
      <c r="V31" s="32"/>
      <c r="W31" s="32"/>
      <c r="X31" s="32"/>
    </row>
    <row r="32" spans="1:24">
      <c r="A32" s="47"/>
      <c r="B32" s="47"/>
      <c r="C32" s="47"/>
      <c r="D32" s="47"/>
      <c r="E32" s="47"/>
      <c r="F32" s="47"/>
      <c r="G32" s="47"/>
      <c r="H32" s="47"/>
      <c r="I32" s="32"/>
      <c r="J32" s="32"/>
      <c r="K32" s="32"/>
      <c r="Q32" s="32"/>
      <c r="R32" s="32"/>
      <c r="S32" s="32"/>
      <c r="T32" s="32"/>
      <c r="U32" s="32"/>
      <c r="V32" s="32"/>
      <c r="W32" s="32"/>
      <c r="X32" s="32"/>
    </row>
    <row r="33" spans="1:26">
      <c r="A33" s="52" t="s">
        <v>84</v>
      </c>
      <c r="B33" s="53"/>
      <c r="C33" s="53"/>
      <c r="D33" s="53"/>
      <c r="E33" s="53"/>
      <c r="F33" s="53"/>
      <c r="G33" s="53"/>
      <c r="H33" s="47"/>
      <c r="I33" s="32"/>
      <c r="J33" s="32"/>
      <c r="K33" s="32"/>
      <c r="Q33" s="32"/>
      <c r="R33" s="32"/>
      <c r="S33" s="32"/>
      <c r="T33" s="32"/>
      <c r="U33" s="32"/>
      <c r="V33" s="32"/>
      <c r="W33" s="32"/>
      <c r="X33" s="32"/>
    </row>
    <row r="34" spans="1:26">
      <c r="A34" s="47"/>
      <c r="B34" s="47" t="s">
        <v>55</v>
      </c>
      <c r="C34" s="47" t="s">
        <v>56</v>
      </c>
      <c r="D34" s="47" t="s">
        <v>57</v>
      </c>
      <c r="E34" s="47" t="s">
        <v>58</v>
      </c>
      <c r="F34" s="47" t="s">
        <v>59</v>
      </c>
      <c r="G34" s="47" t="s">
        <v>60</v>
      </c>
      <c r="H34" s="47"/>
      <c r="I34" s="32"/>
      <c r="J34" s="32"/>
      <c r="K34" s="32"/>
      <c r="Q34" s="32"/>
      <c r="R34" s="32"/>
      <c r="S34" s="32"/>
      <c r="T34" s="32"/>
      <c r="U34" s="32"/>
      <c r="V34" s="32"/>
      <c r="W34" s="32"/>
      <c r="X34" s="32"/>
    </row>
    <row r="35" spans="1:26">
      <c r="A35" s="47" t="s">
        <v>49</v>
      </c>
      <c r="B35" s="47">
        <v>0.3</v>
      </c>
      <c r="C35" s="47">
        <v>7.3800000000000004E-2</v>
      </c>
      <c r="D35" s="49">
        <v>0.83774400000000004</v>
      </c>
      <c r="E35" s="47">
        <v>0</v>
      </c>
      <c r="F35" s="47">
        <v>0</v>
      </c>
      <c r="G35" s="50">
        <v>0.3</v>
      </c>
      <c r="H35" s="48"/>
      <c r="I35" s="32"/>
      <c r="J35" s="32"/>
      <c r="K35" s="32"/>
      <c r="Q35" s="32"/>
      <c r="R35" s="32"/>
      <c r="S35" s="32"/>
      <c r="T35" s="32"/>
      <c r="U35" s="32"/>
      <c r="V35" s="32"/>
      <c r="W35" s="32"/>
      <c r="X35" s="32"/>
    </row>
    <row r="36" spans="1:26">
      <c r="A36" s="47" t="s">
        <v>50</v>
      </c>
      <c r="B36" s="47">
        <v>0.3</v>
      </c>
      <c r="C36" s="47">
        <v>0</v>
      </c>
      <c r="D36" s="49">
        <v>1.6713899999999999</v>
      </c>
      <c r="E36" s="47">
        <v>0</v>
      </c>
      <c r="F36" s="47">
        <v>0</v>
      </c>
      <c r="G36" s="50">
        <v>0</v>
      </c>
      <c r="H36" s="47"/>
      <c r="I36" s="32"/>
      <c r="J36" s="32"/>
      <c r="K36" s="32"/>
      <c r="Q36" s="32"/>
      <c r="R36" s="32"/>
      <c r="S36" s="32"/>
      <c r="T36" s="32"/>
      <c r="U36" s="32"/>
      <c r="V36" s="32"/>
      <c r="W36" s="32"/>
      <c r="X36" s="32"/>
    </row>
    <row r="37" spans="1:26">
      <c r="A37" s="47" t="s">
        <v>52</v>
      </c>
      <c r="B37" s="47">
        <v>0.3</v>
      </c>
      <c r="C37" s="47">
        <v>0</v>
      </c>
      <c r="D37" s="49">
        <v>0.83756200000000003</v>
      </c>
      <c r="E37" s="47">
        <v>0</v>
      </c>
      <c r="F37" s="47">
        <v>0</v>
      </c>
      <c r="G37" s="50">
        <v>0.1</v>
      </c>
      <c r="H37" s="47"/>
      <c r="I37" s="32"/>
      <c r="J37" s="32"/>
      <c r="K37" s="32"/>
      <c r="Q37" s="32"/>
      <c r="R37" s="32"/>
      <c r="S37" s="32"/>
      <c r="T37" s="32"/>
      <c r="U37" s="32"/>
      <c r="V37" s="32"/>
      <c r="W37" s="32"/>
      <c r="X37" s="32"/>
    </row>
    <row r="38" spans="1:26">
      <c r="B38" s="1"/>
      <c r="C38" s="1"/>
      <c r="D38"/>
      <c r="E38"/>
      <c r="G38"/>
      <c r="H38" s="47"/>
      <c r="I38" s="32"/>
      <c r="J38" s="32"/>
      <c r="K38" s="32"/>
      <c r="Q38" s="39"/>
      <c r="R38" s="39"/>
      <c r="S38" s="39"/>
      <c r="T38" s="32"/>
      <c r="U38" s="32"/>
      <c r="V38" s="32"/>
      <c r="W38" s="32"/>
      <c r="X38" s="32"/>
    </row>
    <row r="39" spans="1:26">
      <c r="A39" s="153"/>
      <c r="B39" s="48"/>
      <c r="C39" s="48"/>
      <c r="D39" s="48"/>
      <c r="E39" s="48"/>
      <c r="F39" s="48"/>
      <c r="G39" s="48"/>
      <c r="H39" s="47"/>
      <c r="I39" s="32"/>
      <c r="J39" s="32"/>
      <c r="K39" s="32"/>
      <c r="L39" s="32"/>
      <c r="M39" s="32"/>
      <c r="N39" s="32"/>
      <c r="O39" s="32"/>
      <c r="P39" s="32"/>
      <c r="Q39" s="34"/>
      <c r="R39" s="34"/>
      <c r="S39" s="34"/>
      <c r="T39" s="34"/>
      <c r="U39" s="32"/>
      <c r="V39" s="32"/>
      <c r="W39" s="32"/>
      <c r="X39" s="36"/>
      <c r="Y39" s="36"/>
      <c r="Z39" s="37"/>
    </row>
    <row r="40" spans="1:26">
      <c r="A40" s="47"/>
      <c r="B40" s="47"/>
      <c r="C40" s="47"/>
      <c r="D40" s="47"/>
      <c r="E40" s="47"/>
      <c r="F40" s="47"/>
      <c r="G40" s="47"/>
      <c r="L40" s="32"/>
      <c r="M40" s="32"/>
      <c r="N40" s="28"/>
      <c r="O40" s="59"/>
      <c r="P40" s="34"/>
      <c r="Q40" s="34"/>
      <c r="R40" s="34"/>
      <c r="S40" s="34"/>
      <c r="T40" s="34"/>
      <c r="U40" s="32"/>
      <c r="V40" s="32"/>
      <c r="W40" s="32"/>
      <c r="X40" s="36"/>
      <c r="Y40" s="36"/>
      <c r="Z40" s="37"/>
    </row>
    <row r="41" spans="1:26">
      <c r="A41" s="47"/>
      <c r="B41" s="47"/>
      <c r="C41" s="47"/>
      <c r="D41" s="49"/>
      <c r="E41" s="47"/>
      <c r="F41" s="47"/>
      <c r="G41" s="50"/>
      <c r="L41" s="32"/>
      <c r="M41" s="32"/>
      <c r="N41" s="34"/>
      <c r="O41" s="34"/>
      <c r="P41" s="34"/>
      <c r="Q41" s="34"/>
      <c r="R41" s="34"/>
      <c r="S41" s="34"/>
      <c r="T41" s="34"/>
      <c r="U41" s="32"/>
      <c r="V41" s="32"/>
      <c r="W41" s="32"/>
      <c r="X41" s="36"/>
      <c r="Y41" s="36"/>
      <c r="Z41" s="37"/>
    </row>
    <row r="42" spans="1:26">
      <c r="A42" s="47"/>
      <c r="B42" s="47"/>
      <c r="C42" s="47"/>
      <c r="D42" s="49"/>
      <c r="E42" s="47"/>
      <c r="F42" s="47"/>
      <c r="G42" s="50"/>
    </row>
  </sheetData>
  <mergeCells count="4">
    <mergeCell ref="A9:B9"/>
    <mergeCell ref="A10:B10"/>
    <mergeCell ref="D2:R2"/>
    <mergeCell ref="D6:R6"/>
  </mergeCells>
  <conditionalFormatting sqref="E9:L15">
    <cfRule type="colorScale" priority="1">
      <colorScale>
        <cfvo type="num" val="$J$22"/>
        <cfvo type="num" val="$J$22"/>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activeCell="A9" sqref="A9:B9"/>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4"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4" s="33" customFormat="1" ht="21" thickBot="1">
      <c r="A2" s="3"/>
      <c r="B2" s="3"/>
      <c r="C2" s="3"/>
      <c r="D2" s="159" t="s">
        <v>72</v>
      </c>
      <c r="E2" s="160"/>
      <c r="F2" s="160"/>
      <c r="G2" s="160"/>
      <c r="H2" s="160"/>
      <c r="I2" s="160"/>
      <c r="J2" s="160"/>
      <c r="K2" s="160"/>
      <c r="L2" s="160"/>
      <c r="M2" s="160"/>
      <c r="N2" s="160"/>
      <c r="O2" s="160"/>
      <c r="P2" s="160"/>
      <c r="Q2" s="160"/>
      <c r="R2" s="161"/>
      <c r="S2" s="32"/>
      <c r="T2" s="32"/>
      <c r="U2" s="32"/>
      <c r="V2" s="32"/>
      <c r="W2" s="32"/>
      <c r="X2" s="32"/>
    </row>
    <row r="3" spans="1:24" s="33" customFormat="1">
      <c r="A3" s="8" t="s">
        <v>74</v>
      </c>
      <c r="B3" s="122">
        <v>1800</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4">
      <c r="A4" s="8" t="s">
        <v>76</v>
      </c>
      <c r="B4" s="122">
        <v>1</v>
      </c>
      <c r="C4" s="3"/>
      <c r="D4" s="12" t="s">
        <v>12</v>
      </c>
      <c r="E4" s="123">
        <v>5.5350000000000001</v>
      </c>
      <c r="F4" s="14"/>
      <c r="G4" s="14" t="s">
        <v>37</v>
      </c>
      <c r="H4" s="13"/>
      <c r="I4" s="14"/>
      <c r="J4" s="14"/>
      <c r="K4" s="14"/>
      <c r="L4" s="14"/>
      <c r="M4" s="14"/>
      <c r="N4" s="14"/>
      <c r="O4" s="14"/>
      <c r="P4" s="40"/>
      <c r="Q4" s="40"/>
      <c r="R4" s="26"/>
      <c r="S4" s="32"/>
      <c r="T4" s="32"/>
      <c r="U4" s="32"/>
      <c r="V4" s="32"/>
      <c r="W4" s="32"/>
      <c r="X4" s="32"/>
    </row>
    <row r="5" spans="1:24" ht="16" thickBot="1">
      <c r="A5" s="20" t="s">
        <v>77</v>
      </c>
      <c r="B5" s="122">
        <v>4</v>
      </c>
      <c r="D5" s="12"/>
      <c r="E5" s="13"/>
      <c r="F5" s="14"/>
      <c r="G5" s="14" t="s">
        <v>15</v>
      </c>
      <c r="H5" s="22">
        <f>10^(0.4*(J30-$E$4))</f>
        <v>385478.35766577272</v>
      </c>
      <c r="I5" s="22">
        <f>10^(0.4*(J31-$E$4))</f>
        <v>422.6686142656032</v>
      </c>
      <c r="J5" s="14"/>
      <c r="K5" s="14"/>
      <c r="L5" s="14"/>
      <c r="M5" s="14"/>
      <c r="N5" s="14"/>
      <c r="O5" s="14"/>
      <c r="P5" s="40"/>
      <c r="Q5" s="40"/>
      <c r="R5" s="26"/>
      <c r="S5" s="32"/>
      <c r="T5" s="32"/>
      <c r="U5" s="32"/>
      <c r="V5" s="32"/>
      <c r="W5" s="32"/>
      <c r="X5" s="32"/>
    </row>
    <row r="6" spans="1:24" ht="16" thickBot="1">
      <c r="C6" s="55"/>
      <c r="D6" s="162" t="s">
        <v>110</v>
      </c>
      <c r="E6" s="163"/>
      <c r="F6" s="163"/>
      <c r="G6" s="163"/>
      <c r="H6" s="163"/>
      <c r="I6" s="163"/>
      <c r="J6" s="163"/>
      <c r="K6" s="163"/>
      <c r="L6" s="163"/>
      <c r="M6" s="163"/>
      <c r="N6" s="163"/>
      <c r="O6" s="163"/>
      <c r="P6" s="163"/>
      <c r="Q6" s="163"/>
      <c r="R6" s="164"/>
      <c r="S6" s="32"/>
      <c r="T6" s="32"/>
      <c r="U6" s="32"/>
      <c r="V6" s="32"/>
      <c r="W6" s="32"/>
      <c r="X6" s="32"/>
    </row>
    <row r="7" spans="1:24">
      <c r="D7" s="87"/>
      <c r="E7" s="135" t="s">
        <v>35</v>
      </c>
      <c r="F7" s="136"/>
      <c r="G7" s="136"/>
      <c r="H7" s="137"/>
      <c r="I7" s="135" t="s">
        <v>36</v>
      </c>
      <c r="J7" s="136"/>
      <c r="K7" s="136"/>
      <c r="L7" s="137"/>
      <c r="M7" s="62"/>
      <c r="N7" s="62"/>
      <c r="O7" s="66"/>
      <c r="P7" s="67"/>
      <c r="Q7" s="66"/>
      <c r="R7" s="63"/>
      <c r="S7" s="32"/>
      <c r="T7" s="32"/>
      <c r="U7" s="32"/>
      <c r="V7" s="32"/>
      <c r="W7" s="32"/>
      <c r="X7" s="32"/>
    </row>
    <row r="8" spans="1:24" ht="16" thickBot="1">
      <c r="A8" s="3"/>
      <c r="B8" s="3"/>
      <c r="C8" s="3"/>
      <c r="D8" s="88" t="s">
        <v>20</v>
      </c>
      <c r="E8" s="77" t="s">
        <v>11</v>
      </c>
      <c r="F8" s="77" t="s">
        <v>16</v>
      </c>
      <c r="G8" s="77" t="s">
        <v>17</v>
      </c>
      <c r="H8" s="77" t="s">
        <v>18</v>
      </c>
      <c r="I8" s="150" t="s">
        <v>11</v>
      </c>
      <c r="J8" s="77" t="s">
        <v>16</v>
      </c>
      <c r="K8" s="77" t="s">
        <v>17</v>
      </c>
      <c r="L8" s="77" t="s">
        <v>18</v>
      </c>
      <c r="M8" s="150" t="s">
        <v>14</v>
      </c>
      <c r="N8" s="150" t="s">
        <v>82</v>
      </c>
      <c r="O8" s="151"/>
      <c r="P8" s="140" t="s">
        <v>83</v>
      </c>
      <c r="Q8" s="141"/>
      <c r="R8" s="78" t="s">
        <v>63</v>
      </c>
      <c r="S8" s="33"/>
      <c r="T8" s="79" t="s">
        <v>49</v>
      </c>
      <c r="U8" s="80" t="s">
        <v>52</v>
      </c>
      <c r="V8" s="80" t="s">
        <v>81</v>
      </c>
      <c r="W8" s="81" t="s">
        <v>61</v>
      </c>
      <c r="X8" s="81" t="s">
        <v>62</v>
      </c>
    </row>
    <row r="9" spans="1:24">
      <c r="A9" s="157" t="s">
        <v>90</v>
      </c>
      <c r="B9" s="157"/>
      <c r="C9" s="152"/>
      <c r="D9" s="89">
        <v>0.84</v>
      </c>
      <c r="E9" s="117">
        <f t="shared" ref="E9:E15" si="0">$H$5*D9</f>
        <v>323801.8204392491</v>
      </c>
      <c r="F9" s="118">
        <f t="shared" ref="F9:F15" si="1">$H$5*D9/$J$27</f>
        <v>19983.85574539729</v>
      </c>
      <c r="G9" s="118">
        <f t="shared" ref="G9:G15" si="2">$H$5*D9/$J$28</f>
        <v>1062.8678879396416</v>
      </c>
      <c r="H9" s="118">
        <f t="shared" ref="H9:H15" si="3">$H$5*D9/$J$29</f>
        <v>19.274329809162047</v>
      </c>
      <c r="I9" s="117">
        <f t="shared" ref="I9:I15" si="4">$I$5*D9</f>
        <v>355.04163598310669</v>
      </c>
      <c r="J9" s="118">
        <f t="shared" ref="J9:J15" si="5">$I$5*D9/$J$27</f>
        <v>21.911862099698805</v>
      </c>
      <c r="K9" s="118">
        <f t="shared" ref="K9:K15" si="6">$I$5*D9/$J$28</f>
        <v>1.165411464506573</v>
      </c>
      <c r="L9" s="119">
        <f t="shared" ref="L9:L15" si="7">$I$5*D9/$J$29</f>
        <v>2.1133882381018782E-2</v>
      </c>
      <c r="M9" s="21">
        <f t="shared" ref="M9:M15" si="8">ROUND($B$3/($B$4*D9*$B$5*$B$5),0)</f>
        <v>134</v>
      </c>
      <c r="N9" s="154">
        <f t="shared" ref="N9:N15" si="9">D9*M9*$B$4*$B$5^2</f>
        <v>1800.96</v>
      </c>
      <c r="O9" s="93">
        <f t="shared" ref="O9:O15" si="10">N9/(24*3600)</f>
        <v>2.0844444444444443E-2</v>
      </c>
      <c r="P9" s="96">
        <f t="shared" ref="P9:P15" si="11">X9</f>
        <v>3861.8129280000003</v>
      </c>
      <c r="Q9" s="93">
        <f t="shared" ref="Q9:Q15" si="12">P9/(24*3600)</f>
        <v>4.4696908888888894E-2</v>
      </c>
      <c r="R9" s="97">
        <f t="shared" ref="R9:R15" si="13">N9/P9</f>
        <v>0.46635091693390279</v>
      </c>
      <c r="T9" s="34">
        <f t="shared" ref="T9:T15" si="14">$B$35+M9*($C$35+$G$35+D9+$D$35)</f>
        <v>275.20689599999997</v>
      </c>
      <c r="U9" s="34">
        <f t="shared" ref="U9:U15" si="15">$B$37+M9*($G$37+D9+$D$37)</f>
        <v>238.49330800000001</v>
      </c>
      <c r="V9" s="34">
        <f>IF(D9&lt;0,T9,U9)</f>
        <v>238.49330800000001</v>
      </c>
      <c r="W9" s="34">
        <f t="shared" ref="W9:W15" si="16">(V9+$B$31)*$B$4</f>
        <v>239.59330800000001</v>
      </c>
      <c r="X9" s="34">
        <f t="shared" ref="X9:X15" si="17">(W9+$B$30)*$B$5^2</f>
        <v>3861.8129280000003</v>
      </c>
    </row>
    <row r="10" spans="1:24">
      <c r="A10" s="158" t="s">
        <v>89</v>
      </c>
      <c r="B10" s="158"/>
      <c r="D10" s="89">
        <v>2</v>
      </c>
      <c r="E10" s="21">
        <f t="shared" si="0"/>
        <v>770956.71533154545</v>
      </c>
      <c r="F10" s="110">
        <f t="shared" si="1"/>
        <v>47580.608917612597</v>
      </c>
      <c r="G10" s="110">
        <f t="shared" si="2"/>
        <v>2530.637828427718</v>
      </c>
      <c r="H10" s="110">
        <f t="shared" si="3"/>
        <v>45.891261450385826</v>
      </c>
      <c r="I10" s="21">
        <f t="shared" si="4"/>
        <v>845.33722853120639</v>
      </c>
      <c r="J10" s="110">
        <f t="shared" si="5"/>
        <v>52.171100237378106</v>
      </c>
      <c r="K10" s="110">
        <f t="shared" si="6"/>
        <v>2.7747892012061262</v>
      </c>
      <c r="L10" s="120">
        <f t="shared" si="7"/>
        <v>5.0318767573854242E-2</v>
      </c>
      <c r="M10" s="21">
        <f t="shared" si="8"/>
        <v>56</v>
      </c>
      <c r="N10" s="92">
        <f t="shared" si="9"/>
        <v>1792</v>
      </c>
      <c r="O10" s="93">
        <f t="shared" si="10"/>
        <v>2.074074074074074E-2</v>
      </c>
      <c r="P10" s="96">
        <f t="shared" si="11"/>
        <v>2682.7755520000005</v>
      </c>
      <c r="Q10" s="93">
        <f t="shared" si="12"/>
        <v>3.105064296296297E-2</v>
      </c>
      <c r="R10" s="97">
        <f t="shared" si="13"/>
        <v>0.66796493603949458</v>
      </c>
      <c r="T10" s="34">
        <f t="shared" si="14"/>
        <v>180.14646400000001</v>
      </c>
      <c r="U10" s="34">
        <f t="shared" si="15"/>
        <v>164.80347200000003</v>
      </c>
      <c r="V10" s="34">
        <f t="shared" ref="V10:V15" si="18">IF(D10&lt;0,T10,U10)</f>
        <v>164.80347200000003</v>
      </c>
      <c r="W10" s="34">
        <f t="shared" si="16"/>
        <v>165.90347200000002</v>
      </c>
      <c r="X10" s="34">
        <f t="shared" si="17"/>
        <v>2682.7755520000005</v>
      </c>
    </row>
    <row r="11" spans="1:24">
      <c r="D11" s="89">
        <v>4</v>
      </c>
      <c r="E11" s="21">
        <f t="shared" si="0"/>
        <v>1541913.4306630909</v>
      </c>
      <c r="F11" s="110">
        <f t="shared" si="1"/>
        <v>95161.217835225194</v>
      </c>
      <c r="G11" s="110">
        <f t="shared" si="2"/>
        <v>5061.275656855436</v>
      </c>
      <c r="H11" s="110">
        <f t="shared" si="3"/>
        <v>91.782522900771653</v>
      </c>
      <c r="I11" s="21">
        <f t="shared" si="4"/>
        <v>1690.6744570624128</v>
      </c>
      <c r="J11" s="110">
        <f t="shared" si="5"/>
        <v>104.34220047475621</v>
      </c>
      <c r="K11" s="110">
        <f t="shared" si="6"/>
        <v>5.5495784024122523</v>
      </c>
      <c r="L11" s="120">
        <f t="shared" si="7"/>
        <v>0.10063753514770848</v>
      </c>
      <c r="M11" s="21">
        <f t="shared" si="8"/>
        <v>28</v>
      </c>
      <c r="N11" s="92">
        <f t="shared" si="9"/>
        <v>1792</v>
      </c>
      <c r="O11" s="93">
        <f t="shared" si="10"/>
        <v>2.074074074074074E-2</v>
      </c>
      <c r="P11" s="96">
        <f t="shared" si="11"/>
        <v>2262.7477760000002</v>
      </c>
      <c r="Q11" s="93">
        <f t="shared" si="12"/>
        <v>2.6189210370370371E-2</v>
      </c>
      <c r="R11" s="97">
        <f t="shared" si="13"/>
        <v>0.79195746826357716</v>
      </c>
      <c r="T11" s="34">
        <f t="shared" si="14"/>
        <v>146.223232</v>
      </c>
      <c r="U11" s="34">
        <f t="shared" si="15"/>
        <v>138.55173600000001</v>
      </c>
      <c r="V11" s="34">
        <f t="shared" si="18"/>
        <v>138.55173600000001</v>
      </c>
      <c r="W11" s="34">
        <f t="shared" si="16"/>
        <v>139.651736</v>
      </c>
      <c r="X11" s="34">
        <f t="shared" si="17"/>
        <v>2262.7477760000002</v>
      </c>
    </row>
    <row r="12" spans="1:24">
      <c r="D12" s="89">
        <v>8</v>
      </c>
      <c r="E12" s="21">
        <f t="shared" si="0"/>
        <v>3083826.8613261818</v>
      </c>
      <c r="F12" s="110">
        <f t="shared" si="1"/>
        <v>190322.43567045039</v>
      </c>
      <c r="G12" s="110">
        <f t="shared" si="2"/>
        <v>10122.551313710872</v>
      </c>
      <c r="H12" s="110">
        <f t="shared" si="3"/>
        <v>183.56504580154331</v>
      </c>
      <c r="I12" s="21">
        <f t="shared" si="4"/>
        <v>3381.3489141248256</v>
      </c>
      <c r="J12" s="110">
        <f t="shared" si="5"/>
        <v>208.68440094951242</v>
      </c>
      <c r="K12" s="110">
        <f t="shared" si="6"/>
        <v>11.099156804824505</v>
      </c>
      <c r="L12" s="120">
        <f t="shared" si="7"/>
        <v>0.20127507029541697</v>
      </c>
      <c r="M12" s="21">
        <f t="shared" si="8"/>
        <v>14</v>
      </c>
      <c r="N12" s="92">
        <f t="shared" si="9"/>
        <v>1792</v>
      </c>
      <c r="O12" s="93">
        <f t="shared" si="10"/>
        <v>2.074074074074074E-2</v>
      </c>
      <c r="P12" s="96">
        <f t="shared" si="11"/>
        <v>2052.7338879999998</v>
      </c>
      <c r="Q12" s="93">
        <f t="shared" si="12"/>
        <v>2.3758494074074071E-2</v>
      </c>
      <c r="R12" s="97">
        <f t="shared" si="13"/>
        <v>0.87298212908930173</v>
      </c>
      <c r="T12" s="34">
        <f t="shared" si="14"/>
        <v>129.261616</v>
      </c>
      <c r="U12" s="34">
        <f t="shared" si="15"/>
        <v>125.42586799999999</v>
      </c>
      <c r="V12" s="34">
        <f t="shared" si="18"/>
        <v>125.42586799999999</v>
      </c>
      <c r="W12" s="34">
        <f t="shared" si="16"/>
        <v>126.52586799999999</v>
      </c>
      <c r="X12" s="34">
        <f t="shared" si="17"/>
        <v>2052.7338879999998</v>
      </c>
    </row>
    <row r="13" spans="1:24">
      <c r="D13" s="89">
        <v>16</v>
      </c>
      <c r="E13" s="21">
        <f t="shared" si="0"/>
        <v>6167653.7226523636</v>
      </c>
      <c r="F13" s="110">
        <f t="shared" si="1"/>
        <v>380644.87134090078</v>
      </c>
      <c r="G13" s="110">
        <f t="shared" si="2"/>
        <v>20245.102627421744</v>
      </c>
      <c r="H13" s="110">
        <f t="shared" si="3"/>
        <v>367.13009160308661</v>
      </c>
      <c r="I13" s="21">
        <f t="shared" si="4"/>
        <v>6762.6978282496511</v>
      </c>
      <c r="J13" s="110">
        <f t="shared" si="5"/>
        <v>417.36880189902485</v>
      </c>
      <c r="K13" s="110">
        <f t="shared" si="6"/>
        <v>22.198313609649009</v>
      </c>
      <c r="L13" s="120">
        <f t="shared" si="7"/>
        <v>0.40255014059083394</v>
      </c>
      <c r="M13" s="21">
        <f t="shared" si="8"/>
        <v>7</v>
      </c>
      <c r="N13" s="92">
        <f t="shared" si="9"/>
        <v>1792</v>
      </c>
      <c r="O13" s="93">
        <f t="shared" si="10"/>
        <v>2.074074074074074E-2</v>
      </c>
      <c r="P13" s="96">
        <f t="shared" si="11"/>
        <v>1947.7269439999998</v>
      </c>
      <c r="Q13" s="93">
        <f t="shared" si="12"/>
        <v>2.2543135925925922E-2</v>
      </c>
      <c r="R13" s="97">
        <f t="shared" si="13"/>
        <v>0.92004682972645691</v>
      </c>
      <c r="T13" s="34">
        <f t="shared" si="14"/>
        <v>120.78080799999999</v>
      </c>
      <c r="U13" s="34">
        <f t="shared" si="15"/>
        <v>118.862934</v>
      </c>
      <c r="V13" s="34">
        <f t="shared" si="18"/>
        <v>118.862934</v>
      </c>
      <c r="W13" s="34">
        <f t="shared" si="16"/>
        <v>119.96293399999999</v>
      </c>
      <c r="X13" s="34">
        <f t="shared" si="17"/>
        <v>1947.7269439999998</v>
      </c>
    </row>
    <row r="14" spans="1:24">
      <c r="D14" s="89">
        <v>32</v>
      </c>
      <c r="E14" s="21">
        <f t="shared" si="0"/>
        <v>12335307.445304727</v>
      </c>
      <c r="F14" s="110">
        <f t="shared" si="1"/>
        <v>761289.74268180155</v>
      </c>
      <c r="G14" s="110">
        <f t="shared" si="2"/>
        <v>40490.205254843488</v>
      </c>
      <c r="H14" s="110">
        <f t="shared" si="3"/>
        <v>734.26018320617322</v>
      </c>
      <c r="I14" s="21">
        <f t="shared" si="4"/>
        <v>13525.395656499302</v>
      </c>
      <c r="J14" s="110">
        <f t="shared" si="5"/>
        <v>834.73760379804969</v>
      </c>
      <c r="K14" s="110">
        <f t="shared" si="6"/>
        <v>44.396627219298018</v>
      </c>
      <c r="L14" s="120">
        <f t="shared" si="7"/>
        <v>0.80510028118166788</v>
      </c>
      <c r="M14" s="21">
        <f t="shared" si="8"/>
        <v>4</v>
      </c>
      <c r="N14" s="92">
        <f t="shared" si="9"/>
        <v>2048</v>
      </c>
      <c r="O14" s="93">
        <f t="shared" si="10"/>
        <v>2.3703703703703703E-2</v>
      </c>
      <c r="P14" s="96">
        <f t="shared" si="11"/>
        <v>2158.7239680000002</v>
      </c>
      <c r="Q14" s="93">
        <f t="shared" si="12"/>
        <v>2.4985231111111113E-2</v>
      </c>
      <c r="R14" s="97">
        <f t="shared" si="13"/>
        <v>0.94870860302598903</v>
      </c>
      <c r="T14" s="34">
        <f t="shared" si="14"/>
        <v>133.14617600000003</v>
      </c>
      <c r="U14" s="34">
        <f t="shared" si="15"/>
        <v>132.05024800000001</v>
      </c>
      <c r="V14" s="34">
        <f t="shared" si="18"/>
        <v>132.05024800000001</v>
      </c>
      <c r="W14" s="34">
        <f t="shared" si="16"/>
        <v>133.150248</v>
      </c>
      <c r="X14" s="34">
        <f t="shared" si="17"/>
        <v>2158.7239680000002</v>
      </c>
    </row>
    <row r="15" spans="1:24" ht="16" thickBot="1">
      <c r="D15" s="90">
        <v>64</v>
      </c>
      <c r="E15" s="27">
        <f t="shared" si="0"/>
        <v>24670614.890609454</v>
      </c>
      <c r="F15" s="114">
        <f t="shared" si="1"/>
        <v>1522579.4853636031</v>
      </c>
      <c r="G15" s="114">
        <f t="shared" si="2"/>
        <v>80980.410509686975</v>
      </c>
      <c r="H15" s="114">
        <f t="shared" si="3"/>
        <v>1468.5203664123464</v>
      </c>
      <c r="I15" s="27">
        <f t="shared" si="4"/>
        <v>27050.791312998605</v>
      </c>
      <c r="J15" s="114">
        <f t="shared" si="5"/>
        <v>1669.4752075960994</v>
      </c>
      <c r="K15" s="114">
        <f t="shared" si="6"/>
        <v>88.793254438596037</v>
      </c>
      <c r="L15" s="121">
        <f t="shared" si="7"/>
        <v>1.6102005623633358</v>
      </c>
      <c r="M15" s="27">
        <f t="shared" si="8"/>
        <v>2</v>
      </c>
      <c r="N15" s="94">
        <f t="shared" si="9"/>
        <v>2048</v>
      </c>
      <c r="O15" s="95">
        <f t="shared" si="10"/>
        <v>2.3703703703703703E-2</v>
      </c>
      <c r="P15" s="98">
        <f t="shared" si="11"/>
        <v>2128.7219840000002</v>
      </c>
      <c r="Q15" s="95">
        <f t="shared" si="12"/>
        <v>2.4637985925925927E-2</v>
      </c>
      <c r="R15" s="99">
        <f t="shared" si="13"/>
        <v>0.96207960240617296</v>
      </c>
      <c r="T15" s="34">
        <f t="shared" si="14"/>
        <v>130.72308800000002</v>
      </c>
      <c r="U15" s="34">
        <f t="shared" si="15"/>
        <v>130.17512400000001</v>
      </c>
      <c r="V15" s="34">
        <f t="shared" si="18"/>
        <v>130.17512400000001</v>
      </c>
      <c r="W15" s="34">
        <f t="shared" si="16"/>
        <v>131.27512400000001</v>
      </c>
      <c r="X15" s="34">
        <f t="shared" si="17"/>
        <v>2128.7219840000002</v>
      </c>
    </row>
    <row r="16" spans="1:24">
      <c r="D16" s="13"/>
      <c r="E16" s="14"/>
      <c r="F16" s="13"/>
      <c r="G16" s="13"/>
      <c r="H16" s="14"/>
      <c r="I16" s="14"/>
      <c r="J16" s="14"/>
      <c r="K16" s="14"/>
      <c r="L16" s="14"/>
      <c r="M16" s="14"/>
      <c r="N16" s="14"/>
    </row>
    <row r="17" spans="1:24">
      <c r="E17"/>
      <c r="F17" s="1"/>
      <c r="H17"/>
    </row>
    <row r="18" spans="1:24">
      <c r="E18"/>
      <c r="F18" s="1"/>
      <c r="H18"/>
    </row>
    <row r="19" spans="1:24" s="91" customFormat="1" ht="20">
      <c r="A19" s="56" t="s">
        <v>86</v>
      </c>
      <c r="B19" s="56"/>
      <c r="C19" s="56"/>
      <c r="D19" s="56"/>
      <c r="E19" s="56"/>
      <c r="F19" s="56"/>
      <c r="G19" s="56"/>
      <c r="H19" s="56"/>
      <c r="I19" s="56"/>
      <c r="J19" s="56"/>
      <c r="K19" s="56"/>
      <c r="L19" s="56"/>
      <c r="M19" s="56"/>
      <c r="N19" s="56"/>
      <c r="O19" s="56"/>
      <c r="P19" s="56"/>
      <c r="Q19" s="56"/>
      <c r="R19" s="56"/>
      <c r="S19" s="56"/>
      <c r="T19" s="56"/>
      <c r="U19" s="56"/>
      <c r="V19" s="56"/>
      <c r="W19" s="56"/>
      <c r="X19" s="56"/>
    </row>
    <row r="20" spans="1:24">
      <c r="D20"/>
      <c r="E20"/>
      <c r="G20"/>
      <c r="H20"/>
    </row>
    <row r="22" spans="1:24">
      <c r="A22" s="51" t="s">
        <v>4</v>
      </c>
      <c r="B22" s="44"/>
      <c r="C22" s="44"/>
      <c r="D22" s="45"/>
      <c r="E22" s="45"/>
      <c r="F22" s="47"/>
      <c r="G22" s="47"/>
      <c r="H22" s="47"/>
      <c r="I22" s="18" t="s">
        <v>19</v>
      </c>
      <c r="J22" s="35">
        <v>20000</v>
      </c>
      <c r="K22" s="14" t="s">
        <v>39</v>
      </c>
    </row>
    <row r="23" spans="1:24">
      <c r="A23" s="47" t="s">
        <v>5</v>
      </c>
      <c r="B23" s="46" t="s">
        <v>104</v>
      </c>
      <c r="C23" s="46" t="s">
        <v>111</v>
      </c>
      <c r="D23" s="47">
        <v>0</v>
      </c>
      <c r="E23" s="47">
        <v>0</v>
      </c>
      <c r="F23" s="47"/>
      <c r="G23" s="47"/>
      <c r="H23" s="47"/>
      <c r="I23" s="9"/>
      <c r="J23" s="29"/>
      <c r="K23" s="14"/>
    </row>
    <row r="24" spans="1:24">
      <c r="A24" s="47" t="s">
        <v>16</v>
      </c>
      <c r="B24" s="46" t="s">
        <v>104</v>
      </c>
      <c r="C24" s="46" t="s">
        <v>111</v>
      </c>
      <c r="D24" s="47">
        <v>1.2096</v>
      </c>
      <c r="E24" s="47">
        <v>1.2138</v>
      </c>
      <c r="F24" s="47"/>
      <c r="G24" s="47"/>
      <c r="H24" s="47"/>
      <c r="I24" s="31" t="s">
        <v>72</v>
      </c>
      <c r="J24" s="42"/>
      <c r="K24" s="42"/>
    </row>
    <row r="25" spans="1:24">
      <c r="A25" s="47" t="s">
        <v>17</v>
      </c>
      <c r="B25" s="46" t="s">
        <v>104</v>
      </c>
      <c r="C25" s="46" t="s">
        <v>111</v>
      </c>
      <c r="D25" s="47">
        <v>2.4838</v>
      </c>
      <c r="E25" s="47">
        <v>2.4935</v>
      </c>
      <c r="F25" s="47"/>
      <c r="G25" s="47"/>
      <c r="H25" s="47"/>
      <c r="I25" s="54"/>
      <c r="J25" s="54" t="s">
        <v>110</v>
      </c>
      <c r="K25" s="54"/>
    </row>
    <row r="26" spans="1:24">
      <c r="A26" s="47" t="s">
        <v>18</v>
      </c>
      <c r="B26" s="46" t="s">
        <v>104</v>
      </c>
      <c r="C26" s="46" t="s">
        <v>111</v>
      </c>
      <c r="D26" s="47">
        <v>4.2252999999999998</v>
      </c>
      <c r="E26" s="47">
        <v>4.2439999999999998</v>
      </c>
      <c r="F26" s="47"/>
      <c r="G26" s="47"/>
      <c r="H26" s="47"/>
      <c r="I26" s="28" t="s">
        <v>2</v>
      </c>
      <c r="J26" s="58">
        <f>10^MIN(D23:E23)</f>
        <v>1</v>
      </c>
      <c r="K26" s="58"/>
    </row>
    <row r="27" spans="1:24">
      <c r="A27" s="47"/>
      <c r="B27" s="46"/>
      <c r="C27" s="46"/>
      <c r="D27" s="47"/>
      <c r="E27" s="47"/>
      <c r="F27" s="47"/>
      <c r="G27" s="47"/>
      <c r="H27" s="47"/>
      <c r="I27" s="28" t="s">
        <v>22</v>
      </c>
      <c r="J27" s="58">
        <f>10^MIN(D24:E24)</f>
        <v>16.203170427400007</v>
      </c>
      <c r="K27" s="58"/>
    </row>
    <row r="28" spans="1:24">
      <c r="A28" s="52" t="s">
        <v>85</v>
      </c>
      <c r="B28" s="131"/>
      <c r="C28" s="131"/>
      <c r="D28" s="47"/>
      <c r="E28" s="47"/>
      <c r="F28" s="47"/>
      <c r="G28" s="47"/>
      <c r="H28" s="47"/>
      <c r="I28" s="28" t="s">
        <v>23</v>
      </c>
      <c r="J28" s="58">
        <f>10^MIN(D25:E25)</f>
        <v>304.64917052573259</v>
      </c>
      <c r="K28" s="58"/>
    </row>
    <row r="29" spans="1:24">
      <c r="A29" s="47" t="s">
        <v>51</v>
      </c>
      <c r="B29" s="47">
        <v>4.8</v>
      </c>
      <c r="C29" s="47" t="s">
        <v>40</v>
      </c>
      <c r="D29" s="47"/>
      <c r="E29" s="47"/>
      <c r="F29" s="47"/>
      <c r="G29" s="47"/>
      <c r="H29" s="47"/>
      <c r="I29" s="28" t="s">
        <v>18</v>
      </c>
      <c r="J29" s="58">
        <f>10^MIN(D26:E26)</f>
        <v>16799.640954848142</v>
      </c>
      <c r="K29" s="58"/>
    </row>
    <row r="30" spans="1:24">
      <c r="A30" s="47" t="s">
        <v>53</v>
      </c>
      <c r="B30" s="47">
        <v>1.77</v>
      </c>
      <c r="C30" s="47" t="s">
        <v>40</v>
      </c>
      <c r="D30" s="47"/>
      <c r="E30" s="47"/>
      <c r="F30" s="47"/>
      <c r="G30" s="47"/>
      <c r="H30" s="47"/>
      <c r="I30" s="28" t="s">
        <v>98</v>
      </c>
      <c r="J30" s="29">
        <v>19.5</v>
      </c>
      <c r="K30" s="29"/>
    </row>
    <row r="31" spans="1:24">
      <c r="A31" s="47" t="s">
        <v>54</v>
      </c>
      <c r="B31" s="47">
        <v>1.1000000000000001</v>
      </c>
      <c r="C31" s="47" t="s">
        <v>40</v>
      </c>
      <c r="D31" s="47"/>
      <c r="E31" s="47"/>
      <c r="F31" s="47"/>
      <c r="G31" s="47"/>
      <c r="H31" s="47"/>
      <c r="I31" s="28" t="s">
        <v>99</v>
      </c>
      <c r="J31" s="1">
        <v>12.1</v>
      </c>
      <c r="K31" s="59"/>
      <c r="Q31" s="32"/>
      <c r="R31" s="32"/>
      <c r="S31" s="32"/>
      <c r="T31" s="32"/>
      <c r="U31" s="32"/>
      <c r="V31" s="32"/>
      <c r="W31" s="32"/>
      <c r="X31" s="32"/>
    </row>
    <row r="32" spans="1:24">
      <c r="A32" s="47"/>
      <c r="B32" s="47"/>
      <c r="C32" s="47"/>
      <c r="D32" s="47"/>
      <c r="E32" s="47"/>
      <c r="F32" s="47"/>
      <c r="G32" s="47"/>
      <c r="H32" s="47"/>
      <c r="I32" s="32"/>
      <c r="J32" s="32"/>
      <c r="K32" s="32"/>
      <c r="Q32" s="32"/>
      <c r="R32" s="32"/>
      <c r="S32" s="32"/>
      <c r="T32" s="32"/>
      <c r="U32" s="32"/>
      <c r="V32" s="32"/>
      <c r="W32" s="32"/>
      <c r="X32" s="32"/>
    </row>
    <row r="33" spans="1:26">
      <c r="A33" s="52" t="s">
        <v>84</v>
      </c>
      <c r="B33" s="53"/>
      <c r="C33" s="53"/>
      <c r="D33" s="53"/>
      <c r="E33" s="53"/>
      <c r="F33" s="53"/>
      <c r="G33" s="53"/>
      <c r="H33" s="47"/>
      <c r="I33" s="32"/>
      <c r="J33" s="32"/>
      <c r="K33" s="32"/>
      <c r="Q33" s="32"/>
      <c r="R33" s="32"/>
      <c r="S33" s="32"/>
      <c r="T33" s="32"/>
      <c r="U33" s="32"/>
      <c r="V33" s="32"/>
      <c r="W33" s="32"/>
      <c r="X33" s="32"/>
    </row>
    <row r="34" spans="1:26">
      <c r="A34" s="47"/>
      <c r="B34" s="47" t="s">
        <v>55</v>
      </c>
      <c r="C34" s="47" t="s">
        <v>56</v>
      </c>
      <c r="D34" s="47" t="s">
        <v>57</v>
      </c>
      <c r="E34" s="47" t="s">
        <v>58</v>
      </c>
      <c r="F34" s="47" t="s">
        <v>59</v>
      </c>
      <c r="G34" s="47" t="s">
        <v>60</v>
      </c>
      <c r="H34" s="47"/>
      <c r="I34" s="32"/>
      <c r="J34" s="32"/>
      <c r="K34" s="32"/>
      <c r="Q34" s="32"/>
      <c r="R34" s="32"/>
      <c r="S34" s="32"/>
      <c r="T34" s="32"/>
      <c r="U34" s="32"/>
      <c r="V34" s="32"/>
      <c r="W34" s="32"/>
      <c r="X34" s="32"/>
    </row>
    <row r="35" spans="1:26">
      <c r="A35" s="47" t="s">
        <v>49</v>
      </c>
      <c r="B35" s="47">
        <v>0.3</v>
      </c>
      <c r="C35" s="47">
        <v>7.3800000000000004E-2</v>
      </c>
      <c r="D35" s="49">
        <v>0.83774400000000004</v>
      </c>
      <c r="E35" s="47">
        <v>0</v>
      </c>
      <c r="F35" s="47">
        <v>0</v>
      </c>
      <c r="G35" s="50">
        <v>0.3</v>
      </c>
      <c r="H35" s="48"/>
      <c r="I35" s="32"/>
      <c r="J35" s="32"/>
      <c r="K35" s="32"/>
      <c r="Q35" s="32"/>
      <c r="R35" s="32"/>
      <c r="S35" s="32"/>
      <c r="T35" s="32"/>
      <c r="U35" s="32"/>
      <c r="V35" s="32"/>
      <c r="W35" s="32"/>
      <c r="X35" s="32"/>
    </row>
    <row r="36" spans="1:26">
      <c r="A36" s="47" t="s">
        <v>50</v>
      </c>
      <c r="B36" s="47">
        <v>0.3</v>
      </c>
      <c r="C36" s="47">
        <v>0</v>
      </c>
      <c r="D36" s="49">
        <v>1.6713899999999999</v>
      </c>
      <c r="E36" s="47">
        <v>0</v>
      </c>
      <c r="F36" s="47">
        <v>0</v>
      </c>
      <c r="G36" s="50">
        <v>0</v>
      </c>
      <c r="H36" s="47"/>
      <c r="I36" s="32"/>
      <c r="J36" s="32"/>
      <c r="K36" s="32"/>
      <c r="Q36" s="32"/>
      <c r="R36" s="32"/>
      <c r="S36" s="32"/>
      <c r="T36" s="32"/>
      <c r="U36" s="32"/>
      <c r="V36" s="32"/>
      <c r="W36" s="32"/>
      <c r="X36" s="32"/>
    </row>
    <row r="37" spans="1:26">
      <c r="A37" s="47" t="s">
        <v>52</v>
      </c>
      <c r="B37" s="47">
        <v>0.3</v>
      </c>
      <c r="C37" s="47">
        <v>0</v>
      </c>
      <c r="D37" s="49">
        <v>0.83756200000000003</v>
      </c>
      <c r="E37" s="47">
        <v>0</v>
      </c>
      <c r="F37" s="47">
        <v>0</v>
      </c>
      <c r="G37" s="50">
        <v>0.1</v>
      </c>
      <c r="H37" s="47"/>
      <c r="I37" s="32"/>
      <c r="J37" s="32"/>
      <c r="K37" s="32"/>
      <c r="Q37" s="32"/>
      <c r="R37" s="32"/>
      <c r="S37" s="32"/>
      <c r="T37" s="32"/>
      <c r="U37" s="32"/>
      <c r="V37" s="32"/>
      <c r="W37" s="32"/>
      <c r="X37" s="32"/>
    </row>
    <row r="38" spans="1:26">
      <c r="B38" s="1"/>
      <c r="C38" s="1"/>
      <c r="D38"/>
      <c r="E38"/>
      <c r="G38"/>
      <c r="H38" s="47"/>
      <c r="I38" s="32"/>
      <c r="J38" s="32"/>
      <c r="K38" s="32"/>
      <c r="Q38" s="39"/>
      <c r="R38" s="39"/>
      <c r="S38" s="39"/>
      <c r="T38" s="32"/>
      <c r="U38" s="32"/>
      <c r="V38" s="32"/>
      <c r="W38" s="32"/>
      <c r="X38" s="32"/>
    </row>
    <row r="39" spans="1:26">
      <c r="A39" s="153"/>
      <c r="B39" s="48"/>
      <c r="C39" s="48"/>
      <c r="D39" s="48"/>
      <c r="E39" s="48"/>
      <c r="F39" s="48"/>
      <c r="G39" s="48"/>
      <c r="H39" s="47"/>
      <c r="I39" s="32"/>
      <c r="J39" s="32"/>
      <c r="K39" s="32"/>
      <c r="L39" s="32"/>
      <c r="M39" s="32"/>
      <c r="N39" s="32"/>
      <c r="O39" s="32"/>
      <c r="P39" s="32"/>
      <c r="Q39" s="34"/>
      <c r="R39" s="34"/>
      <c r="S39" s="34"/>
      <c r="T39" s="34"/>
      <c r="U39" s="32"/>
      <c r="V39" s="32"/>
      <c r="W39" s="32"/>
      <c r="X39" s="36"/>
      <c r="Y39" s="36"/>
      <c r="Z39" s="37"/>
    </row>
    <row r="40" spans="1:26">
      <c r="A40" s="47"/>
      <c r="B40" s="47"/>
      <c r="C40" s="47"/>
      <c r="D40" s="47"/>
      <c r="E40" s="47"/>
      <c r="F40" s="47"/>
      <c r="G40" s="47"/>
      <c r="L40" s="32"/>
      <c r="M40" s="32"/>
      <c r="N40" s="28"/>
      <c r="O40" s="59"/>
      <c r="P40" s="34"/>
      <c r="Q40" s="34"/>
      <c r="R40" s="34"/>
      <c r="S40" s="34"/>
      <c r="T40" s="34"/>
      <c r="U40" s="32"/>
      <c r="V40" s="32"/>
      <c r="W40" s="32"/>
      <c r="X40" s="36"/>
      <c r="Y40" s="36"/>
      <c r="Z40" s="37"/>
    </row>
    <row r="41" spans="1:26">
      <c r="A41" s="47"/>
      <c r="B41" s="47"/>
      <c r="C41" s="47"/>
      <c r="D41" s="49"/>
      <c r="E41" s="47"/>
      <c r="F41" s="47"/>
      <c r="G41" s="50"/>
      <c r="L41" s="32"/>
      <c r="M41" s="32"/>
      <c r="N41" s="34"/>
      <c r="O41" s="34"/>
      <c r="P41" s="34"/>
      <c r="Q41" s="34"/>
      <c r="R41" s="34"/>
      <c r="S41" s="34"/>
      <c r="T41" s="34"/>
      <c r="U41" s="32"/>
      <c r="V41" s="32"/>
      <c r="W41" s="32"/>
      <c r="X41" s="36"/>
      <c r="Y41" s="36"/>
      <c r="Z41" s="37"/>
    </row>
    <row r="42" spans="1:26">
      <c r="A42" s="47"/>
      <c r="B42" s="47"/>
      <c r="C42" s="47"/>
      <c r="D42" s="49"/>
      <c r="E42" s="47"/>
      <c r="F42" s="47"/>
      <c r="G42" s="50"/>
    </row>
  </sheetData>
  <mergeCells count="4">
    <mergeCell ref="D2:R2"/>
    <mergeCell ref="D6:R6"/>
    <mergeCell ref="A9:B9"/>
    <mergeCell ref="A10:B10"/>
  </mergeCells>
  <conditionalFormatting sqref="E9:L15">
    <cfRule type="colorScale" priority="1">
      <colorScale>
        <cfvo type="num" val="$J$22"/>
        <cfvo type="num" val="$J$22"/>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workbookViewId="0">
      <selection activeCell="B6" sqref="B6"/>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7"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7" ht="21" thickBot="1">
      <c r="D2" s="159" t="s">
        <v>72</v>
      </c>
      <c r="E2" s="160"/>
      <c r="F2" s="73"/>
      <c r="G2" s="73"/>
      <c r="H2" s="73"/>
      <c r="I2" s="73"/>
      <c r="J2" s="73"/>
      <c r="K2" s="73"/>
      <c r="L2" s="73"/>
      <c r="M2" s="73"/>
      <c r="N2" s="73"/>
      <c r="O2" s="73"/>
      <c r="P2" s="73"/>
      <c r="Q2" s="73"/>
      <c r="R2" s="74"/>
      <c r="S2" s="32"/>
      <c r="T2" s="32"/>
      <c r="U2" s="32"/>
      <c r="V2" s="32"/>
      <c r="W2" s="32"/>
      <c r="X2" s="32"/>
    </row>
    <row r="3" spans="1:27">
      <c r="A3" s="8" t="s">
        <v>74</v>
      </c>
      <c r="B3" s="122">
        <v>3072</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7">
      <c r="A4" s="8" t="s">
        <v>76</v>
      </c>
      <c r="B4" s="122">
        <v>1</v>
      </c>
      <c r="C4" s="3"/>
      <c r="D4" s="12" t="s">
        <v>42</v>
      </c>
      <c r="E4" s="123">
        <v>2.5</v>
      </c>
      <c r="F4" s="14"/>
      <c r="G4" s="14" t="s">
        <v>37</v>
      </c>
      <c r="H4" s="13"/>
      <c r="I4" s="14"/>
      <c r="J4" s="14"/>
      <c r="K4" s="14"/>
      <c r="L4" s="14"/>
      <c r="M4" s="14"/>
      <c r="N4" s="14"/>
      <c r="O4" s="14"/>
      <c r="P4" s="40"/>
      <c r="Q4" s="40"/>
      <c r="R4" s="26"/>
      <c r="S4" s="32"/>
      <c r="T4" s="32"/>
      <c r="U4" s="32"/>
      <c r="V4" s="32"/>
      <c r="W4" s="32"/>
      <c r="X4" s="32"/>
    </row>
    <row r="5" spans="1:27" ht="16" thickBot="1">
      <c r="A5" s="20" t="s">
        <v>77</v>
      </c>
      <c r="B5" s="122">
        <v>4</v>
      </c>
      <c r="D5" s="12"/>
      <c r="E5" s="13"/>
      <c r="F5" s="14"/>
      <c r="G5" s="14" t="s">
        <v>15</v>
      </c>
      <c r="H5" s="22">
        <f>10^(0.4*(J30-$E$4))</f>
        <v>47863009.232263893</v>
      </c>
      <c r="I5" s="22">
        <f>10^(0.4*(J31-$E$4))</f>
        <v>31622.77660168384</v>
      </c>
      <c r="J5" s="14"/>
      <c r="K5" s="14"/>
      <c r="L5" s="14"/>
      <c r="M5" s="14"/>
      <c r="N5" s="14"/>
      <c r="O5" s="14"/>
      <c r="P5" s="40"/>
      <c r="Q5" s="40"/>
      <c r="R5" s="26"/>
      <c r="S5" s="32"/>
      <c r="T5" s="32"/>
      <c r="U5" s="32"/>
      <c r="V5" s="32"/>
      <c r="W5" s="32"/>
      <c r="X5" s="32"/>
    </row>
    <row r="6" spans="1:27" ht="16" thickBot="1">
      <c r="C6" s="55"/>
      <c r="D6" s="162" t="s">
        <v>105</v>
      </c>
      <c r="E6" s="163"/>
      <c r="F6" s="163"/>
      <c r="G6" s="163"/>
      <c r="H6" s="163"/>
      <c r="I6" s="163"/>
      <c r="J6" s="163"/>
      <c r="K6" s="163"/>
      <c r="L6" s="163"/>
      <c r="M6" s="163"/>
      <c r="N6" s="163"/>
      <c r="O6" s="163"/>
      <c r="P6" s="163"/>
      <c r="Q6" s="163"/>
      <c r="R6" s="164"/>
      <c r="S6" s="32"/>
      <c r="T6" s="32"/>
      <c r="U6" s="32"/>
      <c r="V6" s="32"/>
      <c r="W6" s="32"/>
      <c r="X6" s="32"/>
    </row>
    <row r="7" spans="1:27">
      <c r="D7" s="87"/>
      <c r="E7" s="165" t="s">
        <v>35</v>
      </c>
      <c r="F7" s="165"/>
      <c r="G7" s="165"/>
      <c r="H7" s="166"/>
      <c r="I7" s="167" t="s">
        <v>36</v>
      </c>
      <c r="J7" s="165"/>
      <c r="K7" s="165"/>
      <c r="L7" s="166"/>
      <c r="M7" s="62"/>
      <c r="N7" s="62"/>
      <c r="O7" s="66"/>
      <c r="P7" s="67"/>
      <c r="Q7" s="66"/>
      <c r="R7" s="63"/>
      <c r="S7" s="32"/>
      <c r="T7" s="32"/>
      <c r="U7" s="32"/>
      <c r="V7" s="32"/>
      <c r="W7" s="32"/>
      <c r="X7" s="32"/>
    </row>
    <row r="8" spans="1:27" ht="16" thickBot="1">
      <c r="A8" s="3"/>
      <c r="B8" s="3"/>
      <c r="C8" s="3"/>
      <c r="D8" s="88" t="s">
        <v>20</v>
      </c>
      <c r="E8" s="77" t="s">
        <v>11</v>
      </c>
      <c r="F8" s="77" t="s">
        <v>16</v>
      </c>
      <c r="G8" s="77" t="s">
        <v>17</v>
      </c>
      <c r="H8" s="77" t="s">
        <v>18</v>
      </c>
      <c r="I8" s="150" t="s">
        <v>11</v>
      </c>
      <c r="J8" s="77" t="s">
        <v>16</v>
      </c>
      <c r="K8" s="77" t="s">
        <v>17</v>
      </c>
      <c r="L8" s="77" t="s">
        <v>18</v>
      </c>
      <c r="M8" s="150" t="s">
        <v>14</v>
      </c>
      <c r="N8" s="168" t="s">
        <v>82</v>
      </c>
      <c r="O8" s="169"/>
      <c r="P8" s="170" t="s">
        <v>83</v>
      </c>
      <c r="Q8" s="171"/>
      <c r="R8" s="78" t="s">
        <v>63</v>
      </c>
      <c r="S8" s="33"/>
      <c r="T8" s="79" t="s">
        <v>49</v>
      </c>
      <c r="U8" s="80" t="s">
        <v>52</v>
      </c>
      <c r="V8" s="80" t="s">
        <v>81</v>
      </c>
      <c r="W8" s="81" t="s">
        <v>61</v>
      </c>
      <c r="X8" s="81" t="s">
        <v>62</v>
      </c>
    </row>
    <row r="9" spans="1:27">
      <c r="A9" s="157" t="s">
        <v>90</v>
      </c>
      <c r="B9" s="157"/>
      <c r="C9" s="82"/>
      <c r="D9" s="89">
        <v>0.84</v>
      </c>
      <c r="E9" s="110">
        <f>$H$5*D9</f>
        <v>40204927.755101666</v>
      </c>
      <c r="F9" s="110">
        <f t="shared" ref="F9:F15" si="0">$H$5*D9/$J$27</f>
        <v>3771197.5762739587</v>
      </c>
      <c r="G9" s="110">
        <f t="shared" ref="G9:G15" si="1">$H$5*D9/$J$28</f>
        <v>327853.09364993608</v>
      </c>
      <c r="H9" s="110">
        <f t="shared" ref="H9:H15" si="2">$H$5*D9/$J$29</f>
        <v>12002.709251493277</v>
      </c>
      <c r="I9" s="21">
        <f>$I$5*D9</f>
        <v>26563.132345414426</v>
      </c>
      <c r="J9" s="110">
        <f t="shared" ref="J9:J15" si="3">$I$5*D9/$J$27</f>
        <v>2491.6055297863318</v>
      </c>
      <c r="K9" s="110">
        <f t="shared" ref="K9:K15" si="4">$I$5*D9/$J$28</f>
        <v>216.61039088353363</v>
      </c>
      <c r="L9" s="110">
        <f t="shared" ref="L9:L15" si="5">$I$5*D9/$J$29</f>
        <v>7.9301113608017681</v>
      </c>
      <c r="M9" s="21">
        <f t="shared" ref="M9:M15" si="6">ROUND($B$3/($B$4*D9*$B$5*$B$5),0)</f>
        <v>229</v>
      </c>
      <c r="N9" s="154">
        <f t="shared" ref="N9:N15" si="7">D9*M9*$B$4*$B$5^2</f>
        <v>3077.7599999999998</v>
      </c>
      <c r="O9" s="93">
        <f t="shared" ref="O9:O15" si="8">N9/(24*3600)</f>
        <v>3.5622222222222222E-2</v>
      </c>
      <c r="P9" s="96">
        <f t="shared" ref="P9:P15" si="9">X9</f>
        <v>6563.7071680000008</v>
      </c>
      <c r="Q9" s="93">
        <f t="shared" ref="Q9:Q15" si="10">P9/(24*3600)</f>
        <v>7.5968832962962973E-2</v>
      </c>
      <c r="R9" s="97">
        <f t="shared" ref="R9:R15" si="11">N9/P9</f>
        <v>0.46890574506507288</v>
      </c>
      <c r="T9" s="34">
        <f t="shared" ref="T9:T15" si="12">$B$37+M9*($C$37+$G$37+D9+$D$37)</f>
        <v>470.10357599999998</v>
      </c>
      <c r="U9" s="34">
        <f t="shared" ref="U9:U15" si="13">$B$38+M9*($G$38+D9+$D$38)</f>
        <v>407.36169800000005</v>
      </c>
      <c r="V9" s="34">
        <f>IF(D9&lt;0,T9,U9)</f>
        <v>407.36169800000005</v>
      </c>
      <c r="W9" s="34">
        <f t="shared" ref="W9:W15" si="14">(V9+$B$33)*$B$4</f>
        <v>408.46169800000007</v>
      </c>
      <c r="X9" s="34">
        <f t="shared" ref="X9:X15" si="15">(W9+$B$32)*$B$5^2</f>
        <v>6563.7071680000008</v>
      </c>
      <c r="Y9" s="36"/>
      <c r="Z9" s="36"/>
      <c r="AA9" s="37"/>
    </row>
    <row r="10" spans="1:27">
      <c r="A10" s="158" t="s">
        <v>89</v>
      </c>
      <c r="B10" s="158"/>
      <c r="D10" s="89">
        <v>2</v>
      </c>
      <c r="E10" s="110">
        <f t="shared" ref="E10:E15" si="16">$H$5*D10</f>
        <v>95726018.464527786</v>
      </c>
      <c r="F10" s="110">
        <f t="shared" si="0"/>
        <v>8979041.8482713308</v>
      </c>
      <c r="G10" s="110">
        <f t="shared" si="1"/>
        <v>780602.6039284193</v>
      </c>
      <c r="H10" s="110">
        <f t="shared" si="2"/>
        <v>28577.879170222091</v>
      </c>
      <c r="I10" s="21">
        <f t="shared" ref="I10:I15" si="17">$I$5*D10</f>
        <v>63245.553203367679</v>
      </c>
      <c r="J10" s="110">
        <f t="shared" si="3"/>
        <v>5932.3941185388849</v>
      </c>
      <c r="K10" s="110">
        <f t="shared" si="4"/>
        <v>515.73902591317528</v>
      </c>
      <c r="L10" s="110">
        <f t="shared" si="5"/>
        <v>18.881217525718494</v>
      </c>
      <c r="M10" s="21">
        <f t="shared" si="6"/>
        <v>96</v>
      </c>
      <c r="N10" s="92">
        <f t="shared" si="7"/>
        <v>3072</v>
      </c>
      <c r="O10" s="93">
        <f t="shared" si="8"/>
        <v>3.5555555555555556E-2</v>
      </c>
      <c r="P10" s="96">
        <f t="shared" si="9"/>
        <v>4562.8152320000008</v>
      </c>
      <c r="Q10" s="93">
        <f t="shared" si="10"/>
        <v>5.2810361481481494E-2</v>
      </c>
      <c r="R10" s="97">
        <f t="shared" si="11"/>
        <v>0.67326855105931216</v>
      </c>
      <c r="T10" s="34">
        <f t="shared" si="12"/>
        <v>308.60822400000001</v>
      </c>
      <c r="U10" s="34">
        <f t="shared" si="13"/>
        <v>282.30595200000005</v>
      </c>
      <c r="V10" s="34">
        <f t="shared" ref="V10:V15" si="18">IF(D10&lt;0,T10,U10)</f>
        <v>282.30595200000005</v>
      </c>
      <c r="W10" s="34">
        <f t="shared" si="14"/>
        <v>283.40595200000007</v>
      </c>
      <c r="X10" s="34">
        <f t="shared" si="15"/>
        <v>4562.8152320000008</v>
      </c>
      <c r="Y10" s="36"/>
      <c r="Z10" s="36"/>
      <c r="AA10" s="37"/>
    </row>
    <row r="11" spans="1:27">
      <c r="D11" s="89">
        <v>4</v>
      </c>
      <c r="E11" s="110">
        <f t="shared" si="16"/>
        <v>191452036.92905557</v>
      </c>
      <c r="F11" s="110">
        <f t="shared" si="0"/>
        <v>17958083.696542662</v>
      </c>
      <c r="G11" s="110">
        <f t="shared" si="1"/>
        <v>1561205.2078568386</v>
      </c>
      <c r="H11" s="110">
        <f t="shared" si="2"/>
        <v>57155.758340444183</v>
      </c>
      <c r="I11" s="21">
        <f t="shared" si="17"/>
        <v>126491.10640673536</v>
      </c>
      <c r="J11" s="110">
        <f t="shared" si="3"/>
        <v>11864.78823707777</v>
      </c>
      <c r="K11" s="110">
        <f t="shared" si="4"/>
        <v>1031.4780518263506</v>
      </c>
      <c r="L11" s="110">
        <f t="shared" si="5"/>
        <v>37.762435051436988</v>
      </c>
      <c r="M11" s="21">
        <f t="shared" si="6"/>
        <v>48</v>
      </c>
      <c r="N11" s="92">
        <f t="shared" si="7"/>
        <v>3072</v>
      </c>
      <c r="O11" s="93">
        <f t="shared" si="8"/>
        <v>3.5555555555555556E-2</v>
      </c>
      <c r="P11" s="96">
        <f t="shared" si="9"/>
        <v>3842.7676160000001</v>
      </c>
      <c r="Q11" s="93">
        <f t="shared" si="10"/>
        <v>4.447647703703704E-2</v>
      </c>
      <c r="R11" s="97">
        <f t="shared" si="11"/>
        <v>0.79942382859926753</v>
      </c>
      <c r="T11" s="34">
        <f t="shared" si="12"/>
        <v>250.45411200000001</v>
      </c>
      <c r="U11" s="34">
        <f t="shared" si="13"/>
        <v>237.302976</v>
      </c>
      <c r="V11" s="34">
        <f t="shared" si="18"/>
        <v>237.302976</v>
      </c>
      <c r="W11" s="34">
        <f t="shared" si="14"/>
        <v>238.402976</v>
      </c>
      <c r="X11" s="34">
        <f t="shared" si="15"/>
        <v>3842.7676160000001</v>
      </c>
      <c r="Y11" s="36"/>
      <c r="Z11" s="36"/>
      <c r="AA11" s="37"/>
    </row>
    <row r="12" spans="1:27">
      <c r="D12" s="89">
        <v>8</v>
      </c>
      <c r="E12" s="110">
        <f t="shared" si="16"/>
        <v>382904073.85811114</v>
      </c>
      <c r="F12" s="110">
        <f t="shared" si="0"/>
        <v>35916167.393085323</v>
      </c>
      <c r="G12" s="110">
        <f t="shared" si="1"/>
        <v>3122410.4157136772</v>
      </c>
      <c r="H12" s="110">
        <f t="shared" si="2"/>
        <v>114311.51668088837</v>
      </c>
      <c r="I12" s="21">
        <f t="shared" si="17"/>
        <v>252982.21281347072</v>
      </c>
      <c r="J12" s="110">
        <f t="shared" si="3"/>
        <v>23729.576474155539</v>
      </c>
      <c r="K12" s="110">
        <f t="shared" si="4"/>
        <v>2062.9561036527011</v>
      </c>
      <c r="L12" s="110">
        <f t="shared" si="5"/>
        <v>75.524870102873976</v>
      </c>
      <c r="M12" s="21">
        <f t="shared" si="6"/>
        <v>24</v>
      </c>
      <c r="N12" s="92">
        <f t="shared" si="7"/>
        <v>3072</v>
      </c>
      <c r="O12" s="93">
        <f t="shared" si="8"/>
        <v>3.5555555555555556E-2</v>
      </c>
      <c r="P12" s="96">
        <f t="shared" si="9"/>
        <v>3482.7438080000002</v>
      </c>
      <c r="Q12" s="93">
        <f t="shared" si="10"/>
        <v>4.0309534814814814E-2</v>
      </c>
      <c r="R12" s="97">
        <f t="shared" si="11"/>
        <v>0.88206315748620223</v>
      </c>
      <c r="T12" s="34">
        <f t="shared" si="12"/>
        <v>221.37705600000001</v>
      </c>
      <c r="U12" s="34">
        <f t="shared" si="13"/>
        <v>214.80148800000001</v>
      </c>
      <c r="V12" s="34">
        <f t="shared" si="18"/>
        <v>214.80148800000001</v>
      </c>
      <c r="W12" s="34">
        <f t="shared" si="14"/>
        <v>215.901488</v>
      </c>
      <c r="X12" s="34">
        <f t="shared" si="15"/>
        <v>3482.7438080000002</v>
      </c>
      <c r="Y12" s="36"/>
      <c r="Z12" s="36"/>
      <c r="AA12" s="37"/>
    </row>
    <row r="13" spans="1:27">
      <c r="D13" s="89">
        <v>16</v>
      </c>
      <c r="E13" s="110">
        <f t="shared" si="16"/>
        <v>765808147.71622229</v>
      </c>
      <c r="F13" s="110">
        <f t="shared" si="0"/>
        <v>71832334.786170647</v>
      </c>
      <c r="G13" s="110">
        <f t="shared" si="1"/>
        <v>6244820.8314273544</v>
      </c>
      <c r="H13" s="110">
        <f t="shared" si="2"/>
        <v>228623.03336177673</v>
      </c>
      <c r="I13" s="21">
        <f t="shared" si="17"/>
        <v>505964.42562694143</v>
      </c>
      <c r="J13" s="110">
        <f t="shared" si="3"/>
        <v>47459.152948311079</v>
      </c>
      <c r="K13" s="110">
        <f t="shared" si="4"/>
        <v>4125.9122073054023</v>
      </c>
      <c r="L13" s="110">
        <f t="shared" si="5"/>
        <v>151.04974020574795</v>
      </c>
      <c r="M13" s="21">
        <f t="shared" si="6"/>
        <v>12</v>
      </c>
      <c r="N13" s="92">
        <f t="shared" si="7"/>
        <v>3072</v>
      </c>
      <c r="O13" s="93">
        <f t="shared" si="8"/>
        <v>3.5555555555555556E-2</v>
      </c>
      <c r="P13" s="96">
        <f t="shared" si="9"/>
        <v>3302.7319040000002</v>
      </c>
      <c r="Q13" s="93">
        <f t="shared" si="10"/>
        <v>3.8226063703703704E-2</v>
      </c>
      <c r="R13" s="97">
        <f t="shared" si="11"/>
        <v>0.93013907555725106</v>
      </c>
      <c r="T13" s="34">
        <f t="shared" si="12"/>
        <v>206.838528</v>
      </c>
      <c r="U13" s="34">
        <f t="shared" si="13"/>
        <v>203.55074400000001</v>
      </c>
      <c r="V13" s="34">
        <f t="shared" si="18"/>
        <v>203.55074400000001</v>
      </c>
      <c r="W13" s="34">
        <f t="shared" si="14"/>
        <v>204.650744</v>
      </c>
      <c r="X13" s="34">
        <f t="shared" si="15"/>
        <v>3302.7319040000002</v>
      </c>
      <c r="Y13" s="36"/>
      <c r="Z13" s="36"/>
      <c r="AA13" s="37"/>
    </row>
    <row r="14" spans="1:27">
      <c r="D14" s="89">
        <v>32</v>
      </c>
      <c r="E14" s="110">
        <f t="shared" si="16"/>
        <v>1531616295.4324446</v>
      </c>
      <c r="F14" s="110">
        <f t="shared" si="0"/>
        <v>143664669.57234129</v>
      </c>
      <c r="G14" s="110">
        <f t="shared" si="1"/>
        <v>12489641.662854709</v>
      </c>
      <c r="H14" s="110">
        <f t="shared" si="2"/>
        <v>457246.06672355346</v>
      </c>
      <c r="I14" s="21">
        <f t="shared" si="17"/>
        <v>1011928.8512538829</v>
      </c>
      <c r="J14" s="110">
        <f t="shared" si="3"/>
        <v>94918.305896622158</v>
      </c>
      <c r="K14" s="110">
        <f t="shared" si="4"/>
        <v>8251.8244146108045</v>
      </c>
      <c r="L14" s="110">
        <f t="shared" si="5"/>
        <v>302.0994804114959</v>
      </c>
      <c r="M14" s="21">
        <f t="shared" si="6"/>
        <v>6</v>
      </c>
      <c r="N14" s="92">
        <f t="shared" si="7"/>
        <v>3072</v>
      </c>
      <c r="O14" s="93">
        <f t="shared" si="8"/>
        <v>3.5555555555555556E-2</v>
      </c>
      <c r="P14" s="96">
        <f t="shared" si="9"/>
        <v>3212.7259520000002</v>
      </c>
      <c r="Q14" s="93">
        <f t="shared" si="10"/>
        <v>3.7184328148148149E-2</v>
      </c>
      <c r="R14" s="97">
        <f t="shared" si="11"/>
        <v>0.95619733705814691</v>
      </c>
      <c r="T14" s="34">
        <f t="shared" si="12"/>
        <v>199.56926400000003</v>
      </c>
      <c r="U14" s="34">
        <f t="shared" si="13"/>
        <v>197.92537200000001</v>
      </c>
      <c r="V14" s="34">
        <f t="shared" si="18"/>
        <v>197.92537200000001</v>
      </c>
      <c r="W14" s="34">
        <f t="shared" si="14"/>
        <v>199.025372</v>
      </c>
      <c r="X14" s="34">
        <f t="shared" si="15"/>
        <v>3212.7259520000002</v>
      </c>
      <c r="Y14" s="36"/>
      <c r="Z14" s="36"/>
      <c r="AA14" s="37"/>
    </row>
    <row r="15" spans="1:27" ht="16" thickBot="1">
      <c r="D15" s="90">
        <v>64</v>
      </c>
      <c r="E15" s="114">
        <f t="shared" si="16"/>
        <v>3063232590.8648891</v>
      </c>
      <c r="F15" s="114">
        <f t="shared" si="0"/>
        <v>287329339.14468259</v>
      </c>
      <c r="G15" s="114">
        <f t="shared" si="1"/>
        <v>24979283.325709417</v>
      </c>
      <c r="H15" s="114">
        <f t="shared" si="2"/>
        <v>914492.13344710693</v>
      </c>
      <c r="I15" s="27">
        <f t="shared" si="17"/>
        <v>2023857.7025077657</v>
      </c>
      <c r="J15" s="114">
        <f t="shared" si="3"/>
        <v>189836.61179324432</v>
      </c>
      <c r="K15" s="114">
        <f t="shared" si="4"/>
        <v>16503.648829221609</v>
      </c>
      <c r="L15" s="114">
        <f t="shared" si="5"/>
        <v>604.19896082299181</v>
      </c>
      <c r="M15" s="115">
        <f t="shared" si="6"/>
        <v>3</v>
      </c>
      <c r="N15" s="94">
        <f t="shared" si="7"/>
        <v>3072</v>
      </c>
      <c r="O15" s="95">
        <f t="shared" si="8"/>
        <v>3.5555555555555556E-2</v>
      </c>
      <c r="P15" s="98">
        <f t="shared" si="9"/>
        <v>3167.722976</v>
      </c>
      <c r="Q15" s="95">
        <f t="shared" si="10"/>
        <v>3.6663460370370368E-2</v>
      </c>
      <c r="R15" s="99">
        <f t="shared" si="11"/>
        <v>0.9697817717252305</v>
      </c>
      <c r="T15" s="34">
        <f t="shared" si="12"/>
        <v>195.93463200000002</v>
      </c>
      <c r="U15" s="34">
        <f t="shared" si="13"/>
        <v>195.112686</v>
      </c>
      <c r="V15" s="34">
        <f t="shared" si="18"/>
        <v>195.112686</v>
      </c>
      <c r="W15" s="34">
        <f t="shared" si="14"/>
        <v>196.21268599999999</v>
      </c>
      <c r="X15" s="34">
        <f t="shared" si="15"/>
        <v>3167.722976</v>
      </c>
      <c r="Y15" s="36"/>
      <c r="Z15" s="36"/>
      <c r="AA15" s="37"/>
    </row>
    <row r="16" spans="1:27">
      <c r="D16" s="13"/>
      <c r="E16" s="14"/>
      <c r="F16" s="13"/>
      <c r="G16" s="13"/>
      <c r="H16" s="14"/>
      <c r="I16" s="14"/>
      <c r="J16" s="14"/>
      <c r="K16" s="14"/>
      <c r="L16" s="14"/>
      <c r="M16" s="14"/>
      <c r="N16" s="14"/>
    </row>
    <row r="17" spans="1:24">
      <c r="E17"/>
      <c r="F17" s="1"/>
      <c r="H17"/>
    </row>
    <row r="18" spans="1:24">
      <c r="E18"/>
      <c r="F18" s="1"/>
      <c r="H18"/>
    </row>
    <row r="19" spans="1:24" s="91" customFormat="1" ht="20">
      <c r="A19" s="56" t="s">
        <v>86</v>
      </c>
      <c r="B19" s="56"/>
      <c r="C19" s="56"/>
      <c r="D19" s="56"/>
      <c r="E19" s="56"/>
      <c r="F19" s="56"/>
      <c r="G19" s="56"/>
      <c r="H19" s="56"/>
      <c r="I19" s="56"/>
      <c r="J19" s="56"/>
      <c r="K19" s="56"/>
      <c r="L19" s="56"/>
      <c r="M19" s="56"/>
      <c r="N19" s="56"/>
      <c r="O19" s="56"/>
      <c r="P19" s="56"/>
      <c r="Q19" s="56"/>
      <c r="R19" s="56"/>
      <c r="S19" s="56"/>
      <c r="T19" s="56"/>
      <c r="U19" s="56"/>
      <c r="V19" s="56"/>
      <c r="W19" s="56"/>
      <c r="X19" s="56"/>
    </row>
    <row r="20" spans="1:24">
      <c r="D20"/>
      <c r="E20"/>
      <c r="G20"/>
      <c r="H20"/>
    </row>
    <row r="22" spans="1:24">
      <c r="A22" s="51" t="s">
        <v>4</v>
      </c>
      <c r="B22" s="44"/>
      <c r="C22" s="45"/>
      <c r="E22" s="47"/>
      <c r="F22" s="47"/>
      <c r="G22" s="47"/>
      <c r="H22" s="47"/>
      <c r="I22" s="18" t="s">
        <v>19</v>
      </c>
      <c r="J22" s="35">
        <v>20000</v>
      </c>
      <c r="K22" s="14" t="s">
        <v>39</v>
      </c>
    </row>
    <row r="23" spans="1:24">
      <c r="A23" s="47" t="s">
        <v>5</v>
      </c>
      <c r="B23" s="46" t="s">
        <v>105</v>
      </c>
      <c r="C23" s="47">
        <v>0</v>
      </c>
      <c r="E23" s="47"/>
      <c r="F23" s="47"/>
      <c r="G23" s="47"/>
      <c r="H23" s="47"/>
      <c r="I23" s="9"/>
      <c r="J23" s="29"/>
      <c r="K23" s="14"/>
    </row>
    <row r="24" spans="1:24">
      <c r="A24" s="47" t="s">
        <v>16</v>
      </c>
      <c r="B24" s="46" t="s">
        <v>105</v>
      </c>
      <c r="C24" s="47">
        <v>1.0278</v>
      </c>
      <c r="E24" s="47"/>
      <c r="F24" s="47"/>
      <c r="G24" s="47"/>
      <c r="H24" s="47"/>
      <c r="I24" s="31" t="s">
        <v>72</v>
      </c>
      <c r="J24" s="42"/>
      <c r="K24" s="40"/>
    </row>
    <row r="25" spans="1:24">
      <c r="A25" s="47" t="s">
        <v>17</v>
      </c>
      <c r="B25" s="46" t="s">
        <v>105</v>
      </c>
      <c r="C25" s="47">
        <v>2.0886</v>
      </c>
      <c r="E25" s="47"/>
      <c r="F25" s="47"/>
      <c r="G25" s="47"/>
      <c r="H25" s="47"/>
      <c r="I25" s="54"/>
      <c r="J25" s="54" t="s">
        <v>105</v>
      </c>
      <c r="K25" s="54"/>
    </row>
    <row r="26" spans="1:24">
      <c r="A26" s="47" t="s">
        <v>18</v>
      </c>
      <c r="B26" s="46" t="s">
        <v>105</v>
      </c>
      <c r="C26" s="47">
        <v>3.5249999999999999</v>
      </c>
      <c r="E26" s="47"/>
      <c r="F26" s="47"/>
      <c r="G26" s="47"/>
      <c r="H26" s="47"/>
      <c r="I26" s="28" t="s">
        <v>2</v>
      </c>
      <c r="J26" s="58">
        <f>10^C23</f>
        <v>1</v>
      </c>
      <c r="K26" s="58"/>
    </row>
    <row r="27" spans="1:24">
      <c r="A27" s="47"/>
      <c r="B27" s="46"/>
      <c r="C27" s="47"/>
      <c r="E27" s="47"/>
      <c r="F27" s="47"/>
      <c r="G27" s="47"/>
      <c r="H27" s="47"/>
      <c r="I27" s="28" t="s">
        <v>22</v>
      </c>
      <c r="J27" s="58">
        <f>10^C24</f>
        <v>10.661050486467797</v>
      </c>
      <c r="K27" s="58"/>
    </row>
    <row r="28" spans="1:24">
      <c r="A28" s="47" t="s">
        <v>3</v>
      </c>
      <c r="B28" s="46" t="s">
        <v>3</v>
      </c>
      <c r="C28" s="46" t="s">
        <v>3</v>
      </c>
      <c r="D28" s="47" t="s">
        <v>3</v>
      </c>
      <c r="E28" s="47" t="s">
        <v>3</v>
      </c>
      <c r="F28" s="47"/>
      <c r="G28" s="47"/>
      <c r="H28" s="47"/>
      <c r="I28" s="28" t="s">
        <v>23</v>
      </c>
      <c r="J28" s="58">
        <f>10^C25</f>
        <v>122.63092383087387</v>
      </c>
      <c r="K28" s="58"/>
    </row>
    <row r="29" spans="1:24">
      <c r="A29" s="47"/>
      <c r="B29" s="46"/>
      <c r="C29" s="46"/>
      <c r="D29" s="47"/>
      <c r="E29" s="47"/>
      <c r="F29" s="47"/>
      <c r="G29" s="47"/>
      <c r="H29" s="47"/>
      <c r="I29" s="28" t="s">
        <v>18</v>
      </c>
      <c r="J29" s="58">
        <f>10^C26</f>
        <v>3349.6543915782768</v>
      </c>
      <c r="K29" s="58"/>
    </row>
    <row r="30" spans="1:24">
      <c r="A30" s="52" t="s">
        <v>85</v>
      </c>
      <c r="B30" s="131"/>
      <c r="C30" s="131"/>
      <c r="D30" s="47"/>
      <c r="E30" s="47"/>
      <c r="F30" s="47"/>
      <c r="G30" s="47"/>
      <c r="H30" s="47"/>
      <c r="I30" s="28" t="s">
        <v>98</v>
      </c>
      <c r="J30" s="29">
        <v>21.7</v>
      </c>
      <c r="K30" s="29"/>
      <c r="L30" s="4"/>
    </row>
    <row r="31" spans="1:24">
      <c r="A31" s="47" t="s">
        <v>51</v>
      </c>
      <c r="B31" s="47">
        <v>4.8</v>
      </c>
      <c r="C31" s="47" t="s">
        <v>40</v>
      </c>
      <c r="D31" s="47"/>
      <c r="E31" s="47"/>
      <c r="F31" s="47"/>
      <c r="G31" s="47"/>
      <c r="H31" s="47"/>
      <c r="I31" s="28" t="s">
        <v>99</v>
      </c>
      <c r="J31" s="46">
        <v>13.75</v>
      </c>
      <c r="K31" s="59"/>
      <c r="L31" s="4"/>
      <c r="Q31" s="32"/>
      <c r="R31" s="32"/>
      <c r="S31" s="32"/>
      <c r="T31" s="32"/>
      <c r="U31" s="32"/>
      <c r="V31" s="32"/>
      <c r="W31" s="32"/>
      <c r="X31" s="32"/>
    </row>
    <row r="32" spans="1:24">
      <c r="A32" s="47" t="s">
        <v>53</v>
      </c>
      <c r="B32" s="47">
        <v>1.77</v>
      </c>
      <c r="C32" s="47" t="s">
        <v>40</v>
      </c>
      <c r="D32" s="47"/>
      <c r="E32" s="47"/>
      <c r="F32" s="47"/>
      <c r="G32" s="47"/>
      <c r="H32" s="47"/>
      <c r="I32" s="28"/>
      <c r="J32" s="59"/>
      <c r="K32" s="34"/>
      <c r="Q32" s="32"/>
      <c r="R32" s="32"/>
      <c r="S32" s="32"/>
      <c r="T32" s="32"/>
      <c r="U32" s="32"/>
      <c r="V32" s="32"/>
      <c r="W32" s="32"/>
      <c r="X32" s="32"/>
    </row>
    <row r="33" spans="1:26">
      <c r="A33" s="47" t="s">
        <v>54</v>
      </c>
      <c r="B33" s="47">
        <v>1.1000000000000001</v>
      </c>
      <c r="C33" s="47" t="s">
        <v>40</v>
      </c>
      <c r="D33" s="47"/>
      <c r="E33" s="47"/>
      <c r="F33" s="47"/>
      <c r="G33" s="47"/>
      <c r="H33" s="47"/>
      <c r="I33" s="28"/>
      <c r="Q33" s="32"/>
      <c r="R33" s="32"/>
      <c r="S33" s="32"/>
      <c r="T33" s="32"/>
      <c r="U33" s="32"/>
      <c r="V33" s="32"/>
      <c r="W33" s="32"/>
      <c r="X33" s="32"/>
    </row>
    <row r="34" spans="1:26">
      <c r="A34" s="47"/>
      <c r="B34" s="47"/>
      <c r="C34" s="47"/>
      <c r="D34" s="47"/>
      <c r="E34" s="47"/>
      <c r="F34" s="47"/>
      <c r="G34" s="47"/>
      <c r="H34" s="47"/>
      <c r="Q34" s="32"/>
      <c r="R34" s="32"/>
      <c r="S34" s="32"/>
      <c r="T34" s="32"/>
      <c r="U34" s="32"/>
      <c r="V34" s="32"/>
      <c r="W34" s="32"/>
      <c r="X34" s="32"/>
    </row>
    <row r="35" spans="1:26">
      <c r="A35" s="52" t="s">
        <v>84</v>
      </c>
      <c r="B35" s="53"/>
      <c r="C35" s="53"/>
      <c r="D35" s="53"/>
      <c r="E35" s="53"/>
      <c r="F35" s="53"/>
      <c r="G35" s="53"/>
      <c r="H35" s="48"/>
      <c r="Q35" s="32"/>
      <c r="R35" s="32"/>
      <c r="S35" s="32"/>
      <c r="T35" s="32"/>
      <c r="U35" s="32"/>
      <c r="V35" s="32"/>
      <c r="W35" s="32"/>
      <c r="X35" s="32"/>
    </row>
    <row r="36" spans="1:26">
      <c r="A36" s="47"/>
      <c r="B36" s="47" t="s">
        <v>55</v>
      </c>
      <c r="C36" s="47" t="s">
        <v>56</v>
      </c>
      <c r="D36" s="47" t="s">
        <v>57</v>
      </c>
      <c r="E36" s="47" t="s">
        <v>58</v>
      </c>
      <c r="F36" s="47" t="s">
        <v>59</v>
      </c>
      <c r="G36" s="47" t="s">
        <v>60</v>
      </c>
      <c r="H36" s="47"/>
      <c r="Q36" s="32"/>
      <c r="R36" s="32"/>
      <c r="S36" s="32"/>
      <c r="T36" s="32"/>
      <c r="U36" s="32"/>
      <c r="V36" s="32"/>
      <c r="W36" s="32"/>
      <c r="X36" s="32"/>
    </row>
    <row r="37" spans="1:26">
      <c r="A37" s="47" t="s">
        <v>49</v>
      </c>
      <c r="B37" s="47">
        <v>0.3</v>
      </c>
      <c r="C37" s="47">
        <v>7.3800000000000004E-2</v>
      </c>
      <c r="D37" s="49">
        <v>0.83774400000000004</v>
      </c>
      <c r="E37" s="47">
        <v>0</v>
      </c>
      <c r="F37" s="47">
        <v>0</v>
      </c>
      <c r="G37" s="50">
        <v>0.3</v>
      </c>
      <c r="H37" s="47"/>
      <c r="Q37" s="32"/>
      <c r="R37" s="32"/>
      <c r="S37" s="32"/>
      <c r="T37" s="32"/>
      <c r="U37" s="32"/>
      <c r="V37" s="32"/>
      <c r="W37" s="32"/>
      <c r="X37" s="32"/>
    </row>
    <row r="38" spans="1:26">
      <c r="A38" s="47" t="s">
        <v>52</v>
      </c>
      <c r="B38" s="47">
        <v>0.3</v>
      </c>
      <c r="C38" s="47">
        <v>0</v>
      </c>
      <c r="D38" s="49">
        <v>0.83756200000000003</v>
      </c>
      <c r="E38" s="47">
        <v>0</v>
      </c>
      <c r="F38" s="47">
        <v>0</v>
      </c>
      <c r="G38" s="50">
        <v>0.1</v>
      </c>
      <c r="H38" s="47"/>
      <c r="Q38" s="39"/>
      <c r="R38" s="39"/>
      <c r="S38" s="39"/>
      <c r="T38" s="32"/>
      <c r="U38" s="32"/>
      <c r="V38" s="32"/>
      <c r="W38" s="32"/>
      <c r="X38" s="32"/>
    </row>
    <row r="39" spans="1:26">
      <c r="B39" s="1"/>
      <c r="C39" s="1"/>
      <c r="D39"/>
      <c r="E39"/>
      <c r="G39"/>
      <c r="H39" s="47"/>
      <c r="Q39" s="34"/>
      <c r="R39" s="34"/>
      <c r="S39" s="34"/>
      <c r="T39" s="34"/>
      <c r="U39" s="32"/>
      <c r="V39" s="32"/>
      <c r="W39" s="32"/>
      <c r="X39" s="36"/>
      <c r="Y39" s="36"/>
      <c r="Z39" s="37"/>
    </row>
    <row r="40" spans="1:26">
      <c r="A40" s="52" t="s">
        <v>100</v>
      </c>
      <c r="B40" s="53"/>
      <c r="C40" s="53"/>
      <c r="D40" s="53"/>
      <c r="E40" s="53"/>
      <c r="F40" s="53"/>
      <c r="G40" s="53"/>
      <c r="H40" s="32"/>
      <c r="Q40" s="34"/>
      <c r="R40" s="34"/>
      <c r="S40" s="34"/>
      <c r="T40" s="34"/>
      <c r="U40" s="32"/>
      <c r="V40" s="32"/>
      <c r="W40" s="32"/>
      <c r="X40" s="36"/>
      <c r="Y40" s="36"/>
      <c r="Z40" s="37"/>
    </row>
    <row r="41" spans="1:26">
      <c r="A41" s="47"/>
      <c r="B41" s="47" t="s">
        <v>55</v>
      </c>
      <c r="C41" s="47" t="s">
        <v>56</v>
      </c>
      <c r="D41" s="47" t="s">
        <v>57</v>
      </c>
      <c r="E41" s="47" t="s">
        <v>58</v>
      </c>
      <c r="F41" s="47" t="s">
        <v>59</v>
      </c>
      <c r="G41" s="47" t="s">
        <v>60</v>
      </c>
      <c r="H41" s="32"/>
      <c r="I41" s="34"/>
      <c r="J41" s="34"/>
      <c r="K41" s="34"/>
      <c r="Q41" s="34"/>
      <c r="R41" s="34"/>
      <c r="S41" s="34"/>
      <c r="T41" s="34"/>
      <c r="U41" s="32"/>
      <c r="V41" s="32"/>
      <c r="W41" s="32"/>
      <c r="X41" s="36"/>
      <c r="Y41" s="36"/>
      <c r="Z41" s="37"/>
    </row>
    <row r="42" spans="1:26">
      <c r="A42" s="47" t="s">
        <v>49</v>
      </c>
      <c r="B42" s="47">
        <v>0.3</v>
      </c>
      <c r="C42" s="47">
        <v>7.3800000000000004E-2</v>
      </c>
      <c r="D42" s="49">
        <v>1.65073</v>
      </c>
      <c r="E42" s="47">
        <v>0</v>
      </c>
      <c r="F42" s="47">
        <v>0</v>
      </c>
      <c r="G42" s="50">
        <v>0.2</v>
      </c>
      <c r="H42"/>
    </row>
    <row r="43" spans="1:26">
      <c r="A43" s="47" t="s">
        <v>52</v>
      </c>
      <c r="B43" s="47">
        <v>0.3</v>
      </c>
      <c r="C43" s="47">
        <v>0</v>
      </c>
      <c r="D43" s="49">
        <v>1.65073</v>
      </c>
      <c r="E43" s="47">
        <v>0</v>
      </c>
      <c r="F43" s="47">
        <v>0</v>
      </c>
      <c r="G43" s="50">
        <v>0.2</v>
      </c>
      <c r="H43"/>
    </row>
  </sheetData>
  <mergeCells count="8">
    <mergeCell ref="A9:B9"/>
    <mergeCell ref="A10:B10"/>
    <mergeCell ref="D2:E2"/>
    <mergeCell ref="D6:R6"/>
    <mergeCell ref="E7:H7"/>
    <mergeCell ref="I7:L7"/>
    <mergeCell ref="N8:O8"/>
    <mergeCell ref="P8:Q8"/>
  </mergeCells>
  <conditionalFormatting sqref="E9:L15">
    <cfRule type="colorScale" priority="1">
      <colorScale>
        <cfvo type="num" val="$J$22"/>
        <cfvo type="num" val="$J$22"/>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workbookViewId="0">
      <selection activeCell="B4" sqref="B4"/>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7"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7" ht="21" thickBot="1">
      <c r="D2" s="159" t="s">
        <v>72</v>
      </c>
      <c r="E2" s="160"/>
      <c r="F2" s="73"/>
      <c r="G2" s="73"/>
      <c r="H2" s="73"/>
      <c r="I2" s="73"/>
      <c r="J2" s="73"/>
      <c r="K2" s="73"/>
      <c r="L2" s="73"/>
      <c r="M2" s="73"/>
      <c r="N2" s="73"/>
      <c r="O2" s="73"/>
      <c r="P2" s="73"/>
      <c r="Q2" s="73"/>
      <c r="R2" s="74"/>
      <c r="S2" s="32"/>
      <c r="T2" s="32"/>
      <c r="U2" s="32"/>
      <c r="V2" s="32"/>
      <c r="W2" s="32"/>
      <c r="X2" s="32"/>
    </row>
    <row r="3" spans="1:27">
      <c r="A3" s="8" t="s">
        <v>74</v>
      </c>
      <c r="B3" s="122">
        <v>3072</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7">
      <c r="A4" s="8" t="s">
        <v>76</v>
      </c>
      <c r="B4" s="122">
        <v>1</v>
      </c>
      <c r="C4" s="3"/>
      <c r="D4" s="12" t="s">
        <v>42</v>
      </c>
      <c r="E4" s="123">
        <v>2.5</v>
      </c>
      <c r="F4" s="14"/>
      <c r="G4" s="14" t="s">
        <v>37</v>
      </c>
      <c r="H4" s="13"/>
      <c r="I4" s="14"/>
      <c r="J4" s="14"/>
      <c r="K4" s="14"/>
      <c r="L4" s="14"/>
      <c r="M4" s="14"/>
      <c r="N4" s="14"/>
      <c r="O4" s="14"/>
      <c r="P4" s="40"/>
      <c r="Q4" s="40"/>
      <c r="R4" s="26"/>
      <c r="S4" s="32"/>
      <c r="T4" s="32"/>
      <c r="U4" s="32"/>
      <c r="V4" s="32"/>
      <c r="W4" s="32"/>
      <c r="X4" s="32"/>
    </row>
    <row r="5" spans="1:27" ht="16" thickBot="1">
      <c r="A5" s="20" t="s">
        <v>77</v>
      </c>
      <c r="B5" s="122">
        <v>4</v>
      </c>
      <c r="D5" s="12"/>
      <c r="E5" s="13"/>
      <c r="F5" s="14"/>
      <c r="G5" s="14" t="s">
        <v>15</v>
      </c>
      <c r="H5" s="22">
        <f>10^(0.4*(J30-$E$4))</f>
        <v>38018939.632056206</v>
      </c>
      <c r="I5" s="22">
        <f>10^(0.4*(J31-$E$4))</f>
        <v>28840.315031266062</v>
      </c>
      <c r="J5" s="14"/>
      <c r="K5" s="14"/>
      <c r="L5" s="14"/>
      <c r="M5" s="14"/>
      <c r="N5" s="14"/>
      <c r="O5" s="14"/>
      <c r="P5" s="40"/>
      <c r="Q5" s="40"/>
      <c r="R5" s="26"/>
      <c r="S5" s="32"/>
      <c r="T5" s="32"/>
      <c r="U5" s="32"/>
      <c r="V5" s="32"/>
      <c r="W5" s="32"/>
      <c r="X5" s="32"/>
    </row>
    <row r="6" spans="1:27" ht="16" thickBot="1">
      <c r="C6" s="55"/>
      <c r="D6" s="162" t="s">
        <v>91</v>
      </c>
      <c r="E6" s="163"/>
      <c r="F6" s="163"/>
      <c r="G6" s="163"/>
      <c r="H6" s="163"/>
      <c r="I6" s="163"/>
      <c r="J6" s="163"/>
      <c r="K6" s="163"/>
      <c r="L6" s="163"/>
      <c r="M6" s="163"/>
      <c r="N6" s="163"/>
      <c r="O6" s="163"/>
      <c r="P6" s="163"/>
      <c r="Q6" s="163"/>
      <c r="R6" s="164"/>
      <c r="S6" s="32"/>
      <c r="T6" s="32"/>
      <c r="U6" s="32"/>
      <c r="V6" s="32"/>
      <c r="W6" s="32"/>
      <c r="X6" s="32"/>
    </row>
    <row r="7" spans="1:27">
      <c r="D7" s="87"/>
      <c r="E7" s="165" t="s">
        <v>35</v>
      </c>
      <c r="F7" s="165"/>
      <c r="G7" s="165"/>
      <c r="H7" s="166"/>
      <c r="I7" s="167" t="s">
        <v>36</v>
      </c>
      <c r="J7" s="165"/>
      <c r="K7" s="165"/>
      <c r="L7" s="166"/>
      <c r="M7" s="62"/>
      <c r="N7" s="62"/>
      <c r="O7" s="66"/>
      <c r="P7" s="67"/>
      <c r="Q7" s="66"/>
      <c r="R7" s="63"/>
      <c r="S7" s="32"/>
      <c r="T7" s="32"/>
      <c r="U7" s="32"/>
      <c r="V7" s="32"/>
      <c r="W7" s="32"/>
      <c r="X7" s="32"/>
    </row>
    <row r="8" spans="1:27" ht="16" thickBot="1">
      <c r="A8" s="3"/>
      <c r="B8" s="3"/>
      <c r="C8" s="3"/>
      <c r="D8" s="88" t="s">
        <v>20</v>
      </c>
      <c r="E8" s="77" t="s">
        <v>11</v>
      </c>
      <c r="F8" s="77" t="s">
        <v>16</v>
      </c>
      <c r="G8" s="77" t="s">
        <v>17</v>
      </c>
      <c r="H8" s="77" t="s">
        <v>18</v>
      </c>
      <c r="I8" s="150" t="s">
        <v>11</v>
      </c>
      <c r="J8" s="77" t="s">
        <v>16</v>
      </c>
      <c r="K8" s="77" t="s">
        <v>17</v>
      </c>
      <c r="L8" s="77" t="s">
        <v>18</v>
      </c>
      <c r="M8" s="150" t="s">
        <v>14</v>
      </c>
      <c r="N8" s="168" t="s">
        <v>82</v>
      </c>
      <c r="O8" s="169"/>
      <c r="P8" s="170" t="s">
        <v>83</v>
      </c>
      <c r="Q8" s="171"/>
      <c r="R8" s="78" t="s">
        <v>63</v>
      </c>
      <c r="S8" s="33"/>
      <c r="T8" s="79" t="s">
        <v>49</v>
      </c>
      <c r="U8" s="80" t="s">
        <v>52</v>
      </c>
      <c r="V8" s="80" t="s">
        <v>81</v>
      </c>
      <c r="W8" s="81" t="s">
        <v>61</v>
      </c>
      <c r="X8" s="81" t="s">
        <v>62</v>
      </c>
    </row>
    <row r="9" spans="1:27">
      <c r="A9" s="157" t="s">
        <v>90</v>
      </c>
      <c r="B9" s="157"/>
      <c r="C9" s="82"/>
      <c r="D9" s="89">
        <v>0.84</v>
      </c>
      <c r="E9" s="110">
        <f>$H$5*D9</f>
        <v>31935909.290927213</v>
      </c>
      <c r="F9" s="110">
        <f t="shared" ref="F9:F15" si="0">$H$5*D9/$J$27</f>
        <v>2003453.5881906932</v>
      </c>
      <c r="G9" s="110">
        <f t="shared" ref="G9:G15" si="1">$H$5*D9/$J$28</f>
        <v>107815.02453451796</v>
      </c>
      <c r="H9" s="110">
        <f t="shared" ref="H9:H15" si="2">$H$5*D9/$J$29</f>
        <v>1956.4974493797345</v>
      </c>
      <c r="I9" s="21">
        <f>$I$5*D9</f>
        <v>24225.86462626349</v>
      </c>
      <c r="J9" s="110">
        <f t="shared" ref="J9:J15" si="3">$I$5*D9/$J$27</f>
        <v>1519.7749646132095</v>
      </c>
      <c r="K9" s="110">
        <f t="shared" ref="K9:K15" si="4">$I$5*D9/$J$28</f>
        <v>81.786059863106402</v>
      </c>
      <c r="L9" s="110">
        <f t="shared" ref="L9:L15" si="5">$I$5*D9/$J$29</f>
        <v>1.4841550907012588</v>
      </c>
      <c r="M9" s="21">
        <f t="shared" ref="M9:M15" si="6">ROUND($B$3/($B$4*D9*$B$5*$B$5),0)</f>
        <v>229</v>
      </c>
      <c r="N9" s="154">
        <f t="shared" ref="N9:N15" si="7">D9*M9*$B$4*$B$5^2</f>
        <v>3077.7599999999998</v>
      </c>
      <c r="O9" s="93">
        <f t="shared" ref="O9:O15" si="8">N9/(24*3600)</f>
        <v>3.5622222222222222E-2</v>
      </c>
      <c r="P9" s="96">
        <f t="shared" ref="P9:P15" si="9">X9</f>
        <v>6563.7071680000008</v>
      </c>
      <c r="Q9" s="93">
        <f t="shared" ref="Q9:Q15" si="10">P9/(24*3600)</f>
        <v>7.5968832962962973E-2</v>
      </c>
      <c r="R9" s="97">
        <f t="shared" ref="R9:R15" si="11">N9/P9</f>
        <v>0.46890574506507288</v>
      </c>
      <c r="T9" s="34">
        <f t="shared" ref="T9:T15" si="12">$B$37+M9*($C$37+$G$37+D9+$D$37)</f>
        <v>470.10357599999998</v>
      </c>
      <c r="U9" s="34">
        <f t="shared" ref="U9:U15" si="13">$B$38+M9*($G$38+D9+$D$38)</f>
        <v>407.36169800000005</v>
      </c>
      <c r="V9" s="34">
        <f>IF(D9&lt;0,T9,U9)</f>
        <v>407.36169800000005</v>
      </c>
      <c r="W9" s="34">
        <f t="shared" ref="W9:W15" si="14">(V9+$B$33)*$B$4</f>
        <v>408.46169800000007</v>
      </c>
      <c r="X9" s="34">
        <f t="shared" ref="X9:X15" si="15">(W9+$B$32)*$B$5^2</f>
        <v>6563.7071680000008</v>
      </c>
      <c r="Y9" s="36"/>
      <c r="Z9" s="36"/>
      <c r="AA9" s="37"/>
    </row>
    <row r="10" spans="1:27">
      <c r="A10" s="158" t="s">
        <v>89</v>
      </c>
      <c r="B10" s="158"/>
      <c r="D10" s="89">
        <v>2</v>
      </c>
      <c r="E10" s="110">
        <f t="shared" ref="E10:E15" si="16">$H$5*D10</f>
        <v>76037879.264112413</v>
      </c>
      <c r="F10" s="110">
        <f t="shared" si="0"/>
        <v>4770127.5909302216</v>
      </c>
      <c r="G10" s="110">
        <f t="shared" si="1"/>
        <v>256702.4393678999</v>
      </c>
      <c r="H10" s="110">
        <f t="shared" si="2"/>
        <v>4658.3272604279391</v>
      </c>
      <c r="I10" s="21">
        <f t="shared" ref="I10:I15" si="17">$I$5*D10</f>
        <v>57680.630062532124</v>
      </c>
      <c r="J10" s="110">
        <f t="shared" si="3"/>
        <v>3618.5118205076419</v>
      </c>
      <c r="K10" s="110">
        <f t="shared" si="4"/>
        <v>194.72871395977714</v>
      </c>
      <c r="L10" s="110">
        <f t="shared" si="5"/>
        <v>3.5337025969077596</v>
      </c>
      <c r="M10" s="21">
        <f t="shared" si="6"/>
        <v>96</v>
      </c>
      <c r="N10" s="92">
        <f t="shared" si="7"/>
        <v>3072</v>
      </c>
      <c r="O10" s="93">
        <f t="shared" si="8"/>
        <v>3.5555555555555556E-2</v>
      </c>
      <c r="P10" s="96">
        <f t="shared" si="9"/>
        <v>4562.8152320000008</v>
      </c>
      <c r="Q10" s="93">
        <f t="shared" si="10"/>
        <v>5.2810361481481494E-2</v>
      </c>
      <c r="R10" s="97">
        <f t="shared" si="11"/>
        <v>0.67326855105931216</v>
      </c>
      <c r="T10" s="34">
        <f t="shared" si="12"/>
        <v>308.60822400000001</v>
      </c>
      <c r="U10" s="34">
        <f t="shared" si="13"/>
        <v>282.30595200000005</v>
      </c>
      <c r="V10" s="34">
        <f t="shared" ref="V10:V15" si="18">IF(D10&lt;0,T10,U10)</f>
        <v>282.30595200000005</v>
      </c>
      <c r="W10" s="34">
        <f t="shared" si="14"/>
        <v>283.40595200000007</v>
      </c>
      <c r="X10" s="34">
        <f t="shared" si="15"/>
        <v>4562.8152320000008</v>
      </c>
      <c r="Y10" s="36"/>
      <c r="Z10" s="36"/>
      <c r="AA10" s="37"/>
    </row>
    <row r="11" spans="1:27">
      <c r="D11" s="89">
        <v>4</v>
      </c>
      <c r="E11" s="110">
        <f t="shared" si="16"/>
        <v>152075758.52822483</v>
      </c>
      <c r="F11" s="110">
        <f t="shared" si="0"/>
        <v>9540255.1818604432</v>
      </c>
      <c r="G11" s="110">
        <f t="shared" si="1"/>
        <v>513404.87873579981</v>
      </c>
      <c r="H11" s="110">
        <f t="shared" si="2"/>
        <v>9316.6545208558782</v>
      </c>
      <c r="I11" s="21">
        <f t="shared" si="17"/>
        <v>115361.26012506425</v>
      </c>
      <c r="J11" s="110">
        <f t="shared" si="3"/>
        <v>7237.0236410152838</v>
      </c>
      <c r="K11" s="110">
        <f t="shared" si="4"/>
        <v>389.45742791955428</v>
      </c>
      <c r="L11" s="110">
        <f t="shared" si="5"/>
        <v>7.0674051938155191</v>
      </c>
      <c r="M11" s="21">
        <f t="shared" si="6"/>
        <v>48</v>
      </c>
      <c r="N11" s="92">
        <f t="shared" si="7"/>
        <v>3072</v>
      </c>
      <c r="O11" s="93">
        <f t="shared" si="8"/>
        <v>3.5555555555555556E-2</v>
      </c>
      <c r="P11" s="96">
        <f t="shared" si="9"/>
        <v>3842.7676160000001</v>
      </c>
      <c r="Q11" s="93">
        <f t="shared" si="10"/>
        <v>4.447647703703704E-2</v>
      </c>
      <c r="R11" s="97">
        <f t="shared" si="11"/>
        <v>0.79942382859926753</v>
      </c>
      <c r="T11" s="34">
        <f t="shared" si="12"/>
        <v>250.45411200000001</v>
      </c>
      <c r="U11" s="34">
        <f t="shared" si="13"/>
        <v>237.302976</v>
      </c>
      <c r="V11" s="34">
        <f t="shared" si="18"/>
        <v>237.302976</v>
      </c>
      <c r="W11" s="34">
        <f t="shared" si="14"/>
        <v>238.402976</v>
      </c>
      <c r="X11" s="34">
        <f t="shared" si="15"/>
        <v>3842.7676160000001</v>
      </c>
      <c r="Y11" s="36"/>
      <c r="Z11" s="36"/>
      <c r="AA11" s="37"/>
    </row>
    <row r="12" spans="1:27">
      <c r="D12" s="89">
        <v>8</v>
      </c>
      <c r="E12" s="110">
        <f t="shared" si="16"/>
        <v>304151517.05644965</v>
      </c>
      <c r="F12" s="110">
        <f t="shared" si="0"/>
        <v>19080510.363720886</v>
      </c>
      <c r="G12" s="110">
        <f t="shared" si="1"/>
        <v>1026809.7574715996</v>
      </c>
      <c r="H12" s="110">
        <f t="shared" si="2"/>
        <v>18633.309041711756</v>
      </c>
      <c r="I12" s="21">
        <f t="shared" si="17"/>
        <v>230722.52025012849</v>
      </c>
      <c r="J12" s="110">
        <f t="shared" si="3"/>
        <v>14474.047282030568</v>
      </c>
      <c r="K12" s="110">
        <f t="shared" si="4"/>
        <v>778.91485583910855</v>
      </c>
      <c r="L12" s="110">
        <f t="shared" si="5"/>
        <v>14.134810387631038</v>
      </c>
      <c r="M12" s="21">
        <f t="shared" si="6"/>
        <v>24</v>
      </c>
      <c r="N12" s="92">
        <f t="shared" si="7"/>
        <v>3072</v>
      </c>
      <c r="O12" s="93">
        <f t="shared" si="8"/>
        <v>3.5555555555555556E-2</v>
      </c>
      <c r="P12" s="96">
        <f t="shared" si="9"/>
        <v>3482.7438080000002</v>
      </c>
      <c r="Q12" s="93">
        <f t="shared" si="10"/>
        <v>4.0309534814814814E-2</v>
      </c>
      <c r="R12" s="97">
        <f t="shared" si="11"/>
        <v>0.88206315748620223</v>
      </c>
      <c r="T12" s="34">
        <f t="shared" si="12"/>
        <v>221.37705600000001</v>
      </c>
      <c r="U12" s="34">
        <f t="shared" si="13"/>
        <v>214.80148800000001</v>
      </c>
      <c r="V12" s="34">
        <f t="shared" si="18"/>
        <v>214.80148800000001</v>
      </c>
      <c r="W12" s="34">
        <f t="shared" si="14"/>
        <v>215.901488</v>
      </c>
      <c r="X12" s="34">
        <f t="shared" si="15"/>
        <v>3482.7438080000002</v>
      </c>
      <c r="Y12" s="36"/>
      <c r="Z12" s="36"/>
      <c r="AA12" s="37"/>
    </row>
    <row r="13" spans="1:27">
      <c r="D13" s="89">
        <v>16</v>
      </c>
      <c r="E13" s="110">
        <f t="shared" si="16"/>
        <v>608303034.1128993</v>
      </c>
      <c r="F13" s="110">
        <f t="shared" si="0"/>
        <v>38161020.727441773</v>
      </c>
      <c r="G13" s="110">
        <f t="shared" si="1"/>
        <v>2053619.5149431992</v>
      </c>
      <c r="H13" s="110">
        <f t="shared" si="2"/>
        <v>37266.618083423513</v>
      </c>
      <c r="I13" s="21">
        <f t="shared" si="17"/>
        <v>461445.04050025699</v>
      </c>
      <c r="J13" s="110">
        <f t="shared" si="3"/>
        <v>28948.094564061135</v>
      </c>
      <c r="K13" s="110">
        <f t="shared" si="4"/>
        <v>1557.8297116782171</v>
      </c>
      <c r="L13" s="110">
        <f t="shared" si="5"/>
        <v>28.269620775262077</v>
      </c>
      <c r="M13" s="21">
        <f t="shared" si="6"/>
        <v>12</v>
      </c>
      <c r="N13" s="92">
        <f t="shared" si="7"/>
        <v>3072</v>
      </c>
      <c r="O13" s="93">
        <f t="shared" si="8"/>
        <v>3.5555555555555556E-2</v>
      </c>
      <c r="P13" s="96">
        <f t="shared" si="9"/>
        <v>3302.7319040000002</v>
      </c>
      <c r="Q13" s="93">
        <f t="shared" si="10"/>
        <v>3.8226063703703704E-2</v>
      </c>
      <c r="R13" s="97">
        <f t="shared" si="11"/>
        <v>0.93013907555725106</v>
      </c>
      <c r="T13" s="34">
        <f t="shared" si="12"/>
        <v>206.838528</v>
      </c>
      <c r="U13" s="34">
        <f t="shared" si="13"/>
        <v>203.55074400000001</v>
      </c>
      <c r="V13" s="34">
        <f t="shared" si="18"/>
        <v>203.55074400000001</v>
      </c>
      <c r="W13" s="34">
        <f t="shared" si="14"/>
        <v>204.650744</v>
      </c>
      <c r="X13" s="34">
        <f t="shared" si="15"/>
        <v>3302.7319040000002</v>
      </c>
      <c r="Y13" s="36"/>
      <c r="Z13" s="36"/>
      <c r="AA13" s="37"/>
    </row>
    <row r="14" spans="1:27">
      <c r="D14" s="89">
        <v>32</v>
      </c>
      <c r="E14" s="110">
        <f t="shared" si="16"/>
        <v>1216606068.2257986</v>
      </c>
      <c r="F14" s="110">
        <f t="shared" si="0"/>
        <v>76322041.454883546</v>
      </c>
      <c r="G14" s="110">
        <f t="shared" si="1"/>
        <v>4107239.0298863985</v>
      </c>
      <c r="H14" s="110">
        <f t="shared" si="2"/>
        <v>74533.236166847026</v>
      </c>
      <c r="I14" s="21">
        <f t="shared" si="17"/>
        <v>922890.08100051398</v>
      </c>
      <c r="J14" s="110">
        <f t="shared" si="3"/>
        <v>57896.189128122271</v>
      </c>
      <c r="K14" s="110">
        <f t="shared" si="4"/>
        <v>3115.6594233564342</v>
      </c>
      <c r="L14" s="110">
        <f t="shared" si="5"/>
        <v>56.539241550524153</v>
      </c>
      <c r="M14" s="21">
        <f t="shared" si="6"/>
        <v>6</v>
      </c>
      <c r="N14" s="92">
        <f t="shared" si="7"/>
        <v>3072</v>
      </c>
      <c r="O14" s="93">
        <f t="shared" si="8"/>
        <v>3.5555555555555556E-2</v>
      </c>
      <c r="P14" s="96">
        <f t="shared" si="9"/>
        <v>3212.7259520000002</v>
      </c>
      <c r="Q14" s="93">
        <f t="shared" si="10"/>
        <v>3.7184328148148149E-2</v>
      </c>
      <c r="R14" s="97">
        <f t="shared" si="11"/>
        <v>0.95619733705814691</v>
      </c>
      <c r="T14" s="34">
        <f t="shared" si="12"/>
        <v>199.56926400000003</v>
      </c>
      <c r="U14" s="34">
        <f t="shared" si="13"/>
        <v>197.92537200000001</v>
      </c>
      <c r="V14" s="34">
        <f t="shared" si="18"/>
        <v>197.92537200000001</v>
      </c>
      <c r="W14" s="34">
        <f t="shared" si="14"/>
        <v>199.025372</v>
      </c>
      <c r="X14" s="34">
        <f t="shared" si="15"/>
        <v>3212.7259520000002</v>
      </c>
      <c r="Y14" s="36"/>
      <c r="Z14" s="36"/>
      <c r="AA14" s="37"/>
    </row>
    <row r="15" spans="1:27" ht="16" thickBot="1">
      <c r="D15" s="90">
        <v>64</v>
      </c>
      <c r="E15" s="114">
        <f t="shared" si="16"/>
        <v>2433212136.4515972</v>
      </c>
      <c r="F15" s="114">
        <f t="shared" si="0"/>
        <v>152644082.90976709</v>
      </c>
      <c r="G15" s="114">
        <f t="shared" si="1"/>
        <v>8214478.0597727969</v>
      </c>
      <c r="H15" s="114">
        <f t="shared" si="2"/>
        <v>149066.47233369405</v>
      </c>
      <c r="I15" s="27">
        <f t="shared" si="17"/>
        <v>1845780.162001028</v>
      </c>
      <c r="J15" s="114">
        <f t="shared" si="3"/>
        <v>115792.37825624454</v>
      </c>
      <c r="K15" s="114">
        <f t="shared" si="4"/>
        <v>6231.3188467128684</v>
      </c>
      <c r="L15" s="114">
        <f t="shared" si="5"/>
        <v>113.07848310104831</v>
      </c>
      <c r="M15" s="115">
        <f t="shared" si="6"/>
        <v>3</v>
      </c>
      <c r="N15" s="94">
        <f t="shared" si="7"/>
        <v>3072</v>
      </c>
      <c r="O15" s="95">
        <f t="shared" si="8"/>
        <v>3.5555555555555556E-2</v>
      </c>
      <c r="P15" s="98">
        <f t="shared" si="9"/>
        <v>3167.722976</v>
      </c>
      <c r="Q15" s="95">
        <f t="shared" si="10"/>
        <v>3.6663460370370368E-2</v>
      </c>
      <c r="R15" s="99">
        <f t="shared" si="11"/>
        <v>0.9697817717252305</v>
      </c>
      <c r="T15" s="34">
        <f t="shared" si="12"/>
        <v>195.93463200000002</v>
      </c>
      <c r="U15" s="34">
        <f t="shared" si="13"/>
        <v>195.112686</v>
      </c>
      <c r="V15" s="34">
        <f t="shared" si="18"/>
        <v>195.112686</v>
      </c>
      <c r="W15" s="34">
        <f t="shared" si="14"/>
        <v>196.21268599999999</v>
      </c>
      <c r="X15" s="34">
        <f t="shared" si="15"/>
        <v>3167.722976</v>
      </c>
      <c r="Y15" s="36"/>
      <c r="Z15" s="36"/>
      <c r="AA15" s="37"/>
    </row>
    <row r="16" spans="1:27">
      <c r="D16" s="13"/>
      <c r="E16" s="14"/>
      <c r="F16" s="13"/>
      <c r="G16" s="13"/>
      <c r="H16" s="14"/>
      <c r="I16" s="14"/>
      <c r="J16" s="14"/>
      <c r="K16" s="14"/>
      <c r="L16" s="14"/>
      <c r="M16" s="14"/>
      <c r="N16" s="14"/>
    </row>
    <row r="17" spans="1:24">
      <c r="E17"/>
      <c r="F17" s="1"/>
      <c r="H17"/>
    </row>
    <row r="18" spans="1:24">
      <c r="E18"/>
      <c r="F18" s="1"/>
      <c r="H18"/>
    </row>
    <row r="19" spans="1:24" s="91" customFormat="1" ht="20">
      <c r="A19" s="56" t="s">
        <v>86</v>
      </c>
      <c r="B19" s="56"/>
      <c r="C19" s="56"/>
      <c r="D19" s="56"/>
      <c r="E19" s="56"/>
      <c r="F19" s="56"/>
      <c r="G19" s="56"/>
      <c r="H19" s="56"/>
      <c r="I19" s="56"/>
      <c r="J19" s="56"/>
      <c r="K19" s="56"/>
      <c r="L19" s="56"/>
      <c r="M19" s="56"/>
      <c r="N19" s="56"/>
      <c r="O19" s="56"/>
      <c r="P19" s="56"/>
      <c r="Q19" s="56"/>
      <c r="R19" s="56"/>
      <c r="S19" s="56"/>
      <c r="T19" s="56"/>
      <c r="U19" s="56"/>
      <c r="V19" s="56"/>
      <c r="W19" s="56"/>
      <c r="X19" s="56"/>
    </row>
    <row r="20" spans="1:24">
      <c r="D20"/>
      <c r="E20"/>
      <c r="G20"/>
      <c r="H20"/>
    </row>
    <row r="22" spans="1:24">
      <c r="A22" s="51" t="s">
        <v>4</v>
      </c>
      <c r="B22" s="44"/>
      <c r="C22" s="45"/>
      <c r="E22" s="47"/>
      <c r="F22" s="47"/>
      <c r="G22" s="47"/>
      <c r="H22" s="47"/>
      <c r="I22" s="18" t="s">
        <v>19</v>
      </c>
      <c r="J22" s="35">
        <v>20000</v>
      </c>
      <c r="K22" s="14" t="s">
        <v>39</v>
      </c>
    </row>
    <row r="23" spans="1:24">
      <c r="A23" s="47" t="s">
        <v>5</v>
      </c>
      <c r="B23" s="46" t="s">
        <v>104</v>
      </c>
      <c r="C23" s="47">
        <v>0</v>
      </c>
      <c r="E23" s="47"/>
      <c r="F23" s="47"/>
      <c r="G23" s="47"/>
      <c r="H23" s="47"/>
      <c r="I23" s="9"/>
      <c r="J23" s="29"/>
      <c r="K23" s="14"/>
    </row>
    <row r="24" spans="1:24">
      <c r="A24" s="47" t="s">
        <v>16</v>
      </c>
      <c r="B24" s="46" t="s">
        <v>104</v>
      </c>
      <c r="C24" s="47">
        <v>1.2024999999999999</v>
      </c>
      <c r="E24" s="47"/>
      <c r="F24" s="47"/>
      <c r="G24" s="47"/>
      <c r="H24" s="47"/>
      <c r="I24" s="31" t="s">
        <v>72</v>
      </c>
      <c r="J24" s="42"/>
      <c r="K24" s="40"/>
    </row>
    <row r="25" spans="1:24">
      <c r="A25" s="47" t="s">
        <v>17</v>
      </c>
      <c r="B25" s="46" t="s">
        <v>104</v>
      </c>
      <c r="C25" s="47">
        <v>2.4716</v>
      </c>
      <c r="E25" s="47"/>
      <c r="F25" s="47"/>
      <c r="G25" s="47"/>
      <c r="H25" s="47"/>
      <c r="I25" s="54"/>
      <c r="J25" s="54" t="s">
        <v>104</v>
      </c>
      <c r="K25" s="54"/>
    </row>
    <row r="26" spans="1:24">
      <c r="A26" s="47" t="s">
        <v>18</v>
      </c>
      <c r="B26" s="46" t="s">
        <v>104</v>
      </c>
      <c r="C26" s="47">
        <v>4.2127999999999997</v>
      </c>
      <c r="E26" s="47"/>
      <c r="F26" s="47"/>
      <c r="G26" s="47"/>
      <c r="H26" s="47"/>
      <c r="I26" s="28" t="s">
        <v>2</v>
      </c>
      <c r="J26" s="58">
        <f>10^C23</f>
        <v>1</v>
      </c>
      <c r="K26" s="58"/>
    </row>
    <row r="27" spans="1:24">
      <c r="A27" s="47"/>
      <c r="B27" s="46"/>
      <c r="C27" s="47"/>
      <c r="E27" s="47"/>
      <c r="F27" s="47"/>
      <c r="G27" s="47"/>
      <c r="H27" s="47"/>
      <c r="I27" s="28" t="s">
        <v>22</v>
      </c>
      <c r="J27" s="58">
        <f>10^C24</f>
        <v>15.940428807122176</v>
      </c>
      <c r="K27" s="58"/>
    </row>
    <row r="28" spans="1:24">
      <c r="A28" s="47" t="s">
        <v>3</v>
      </c>
      <c r="B28" s="46" t="s">
        <v>3</v>
      </c>
      <c r="C28" s="46" t="s">
        <v>3</v>
      </c>
      <c r="D28" s="47" t="s">
        <v>3</v>
      </c>
      <c r="E28" s="47" t="s">
        <v>3</v>
      </c>
      <c r="F28" s="47"/>
      <c r="G28" s="47"/>
      <c r="H28" s="47"/>
      <c r="I28" s="28" t="s">
        <v>23</v>
      </c>
      <c r="J28" s="58">
        <f>10^C25</f>
        <v>296.21019360527663</v>
      </c>
      <c r="K28" s="58"/>
    </row>
    <row r="29" spans="1:24">
      <c r="A29" s="47"/>
      <c r="B29" s="46"/>
      <c r="C29" s="46"/>
      <c r="D29" s="47"/>
      <c r="E29" s="47"/>
      <c r="F29" s="47"/>
      <c r="G29" s="47"/>
      <c r="H29" s="47"/>
      <c r="I29" s="28" t="s">
        <v>18</v>
      </c>
      <c r="J29" s="58">
        <f>10^C26</f>
        <v>16323.000728189963</v>
      </c>
      <c r="K29" s="58"/>
    </row>
    <row r="30" spans="1:24">
      <c r="A30" s="52" t="s">
        <v>85</v>
      </c>
      <c r="B30" s="131"/>
      <c r="C30" s="131"/>
      <c r="D30" s="47"/>
      <c r="E30" s="47"/>
      <c r="F30" s="47"/>
      <c r="G30" s="47"/>
      <c r="H30" s="47"/>
      <c r="I30" s="28" t="s">
        <v>98</v>
      </c>
      <c r="J30" s="29">
        <v>21.45</v>
      </c>
      <c r="K30" s="29"/>
      <c r="L30" s="4"/>
    </row>
    <row r="31" spans="1:24">
      <c r="A31" s="47" t="s">
        <v>51</v>
      </c>
      <c r="B31" s="47">
        <v>4.8</v>
      </c>
      <c r="C31" s="47" t="s">
        <v>40</v>
      </c>
      <c r="D31" s="47"/>
      <c r="E31" s="47"/>
      <c r="F31" s="47"/>
      <c r="G31" s="47"/>
      <c r="H31" s="47"/>
      <c r="I31" s="28" t="s">
        <v>99</v>
      </c>
      <c r="J31" s="46">
        <v>13.65</v>
      </c>
      <c r="K31" s="59"/>
      <c r="L31" s="4"/>
      <c r="Q31" s="32"/>
      <c r="R31" s="32"/>
      <c r="S31" s="32"/>
      <c r="T31" s="32"/>
      <c r="U31" s="32"/>
      <c r="V31" s="32"/>
      <c r="W31" s="32"/>
      <c r="X31" s="32"/>
    </row>
    <row r="32" spans="1:24">
      <c r="A32" s="47" t="s">
        <v>53</v>
      </c>
      <c r="B32" s="47">
        <v>1.77</v>
      </c>
      <c r="C32" s="47" t="s">
        <v>40</v>
      </c>
      <c r="D32" s="47"/>
      <c r="E32" s="47"/>
      <c r="F32" s="47"/>
      <c r="G32" s="47"/>
      <c r="H32" s="47"/>
      <c r="I32" s="28"/>
      <c r="J32" s="59"/>
      <c r="K32" s="34"/>
      <c r="Q32" s="32"/>
      <c r="R32" s="32"/>
      <c r="S32" s="32"/>
      <c r="T32" s="32"/>
      <c r="U32" s="32"/>
      <c r="V32" s="32"/>
      <c r="W32" s="32"/>
      <c r="X32" s="32"/>
    </row>
    <row r="33" spans="1:26">
      <c r="A33" s="47" t="s">
        <v>54</v>
      </c>
      <c r="B33" s="47">
        <v>1.1000000000000001</v>
      </c>
      <c r="C33" s="47" t="s">
        <v>40</v>
      </c>
      <c r="D33" s="47"/>
      <c r="E33" s="47"/>
      <c r="F33" s="47"/>
      <c r="G33" s="47"/>
      <c r="H33" s="47"/>
      <c r="I33" s="28"/>
      <c r="Q33" s="32"/>
      <c r="R33" s="32"/>
      <c r="S33" s="32"/>
      <c r="T33" s="32"/>
      <c r="U33" s="32"/>
      <c r="V33" s="32"/>
      <c r="W33" s="32"/>
      <c r="X33" s="32"/>
    </row>
    <row r="34" spans="1:26">
      <c r="A34" s="47"/>
      <c r="B34" s="47"/>
      <c r="C34" s="47"/>
      <c r="D34" s="47"/>
      <c r="E34" s="47"/>
      <c r="F34" s="47"/>
      <c r="G34" s="47"/>
      <c r="H34" s="47"/>
      <c r="Q34" s="32"/>
      <c r="R34" s="32"/>
      <c r="S34" s="32"/>
      <c r="T34" s="32"/>
      <c r="U34" s="32"/>
      <c r="V34" s="32"/>
      <c r="W34" s="32"/>
      <c r="X34" s="32"/>
    </row>
    <row r="35" spans="1:26">
      <c r="A35" s="52" t="s">
        <v>84</v>
      </c>
      <c r="B35" s="53"/>
      <c r="C35" s="53"/>
      <c r="D35" s="53"/>
      <c r="E35" s="53"/>
      <c r="F35" s="53"/>
      <c r="G35" s="53"/>
      <c r="H35" s="48"/>
      <c r="Q35" s="32"/>
      <c r="R35" s="32"/>
      <c r="S35" s="32"/>
      <c r="T35" s="32"/>
      <c r="U35" s="32"/>
      <c r="V35" s="32"/>
      <c r="W35" s="32"/>
      <c r="X35" s="32"/>
    </row>
    <row r="36" spans="1:26">
      <c r="A36" s="47"/>
      <c r="B36" s="47" t="s">
        <v>55</v>
      </c>
      <c r="C36" s="47" t="s">
        <v>56</v>
      </c>
      <c r="D36" s="47" t="s">
        <v>57</v>
      </c>
      <c r="E36" s="47" t="s">
        <v>58</v>
      </c>
      <c r="F36" s="47" t="s">
        <v>59</v>
      </c>
      <c r="G36" s="47" t="s">
        <v>60</v>
      </c>
      <c r="H36" s="47"/>
      <c r="Q36" s="32"/>
      <c r="R36" s="32"/>
      <c r="S36" s="32"/>
      <c r="T36" s="32"/>
      <c r="U36" s="32"/>
      <c r="V36" s="32"/>
      <c r="W36" s="32"/>
      <c r="X36" s="32"/>
    </row>
    <row r="37" spans="1:26">
      <c r="A37" s="47" t="s">
        <v>49</v>
      </c>
      <c r="B37" s="47">
        <v>0.3</v>
      </c>
      <c r="C37" s="47">
        <v>7.3800000000000004E-2</v>
      </c>
      <c r="D37" s="49">
        <v>0.83774400000000004</v>
      </c>
      <c r="E37" s="47">
        <v>0</v>
      </c>
      <c r="F37" s="47">
        <v>0</v>
      </c>
      <c r="G37" s="50">
        <v>0.3</v>
      </c>
      <c r="H37" s="47"/>
      <c r="Q37" s="32"/>
      <c r="R37" s="32"/>
      <c r="S37" s="32"/>
      <c r="T37" s="32"/>
      <c r="U37" s="32"/>
      <c r="V37" s="32"/>
      <c r="W37" s="32"/>
      <c r="X37" s="32"/>
    </row>
    <row r="38" spans="1:26">
      <c r="A38" s="47" t="s">
        <v>52</v>
      </c>
      <c r="B38" s="47">
        <v>0.3</v>
      </c>
      <c r="C38" s="47">
        <v>0</v>
      </c>
      <c r="D38" s="49">
        <v>0.83756200000000003</v>
      </c>
      <c r="E38" s="47">
        <v>0</v>
      </c>
      <c r="F38" s="47">
        <v>0</v>
      </c>
      <c r="G38" s="50">
        <v>0.1</v>
      </c>
      <c r="H38" s="47"/>
      <c r="Q38" s="39"/>
      <c r="R38" s="39"/>
      <c r="S38" s="39"/>
      <c r="T38" s="32"/>
      <c r="U38" s="32"/>
      <c r="V38" s="32"/>
      <c r="W38" s="32"/>
      <c r="X38" s="32"/>
    </row>
    <row r="39" spans="1:26">
      <c r="B39" s="1"/>
      <c r="C39" s="1"/>
      <c r="D39"/>
      <c r="E39"/>
      <c r="G39"/>
      <c r="H39" s="47"/>
      <c r="Q39" s="34"/>
      <c r="R39" s="34"/>
      <c r="S39" s="34"/>
      <c r="T39" s="34"/>
      <c r="U39" s="32"/>
      <c r="V39" s="32"/>
      <c r="W39" s="32"/>
      <c r="X39" s="36"/>
      <c r="Y39" s="36"/>
      <c r="Z39" s="37"/>
    </row>
    <row r="40" spans="1:26">
      <c r="A40" s="52" t="s">
        <v>100</v>
      </c>
      <c r="B40" s="53"/>
      <c r="C40" s="53"/>
      <c r="D40" s="53"/>
      <c r="E40" s="53"/>
      <c r="F40" s="53"/>
      <c r="G40" s="53"/>
      <c r="H40" s="32"/>
      <c r="Q40" s="34"/>
      <c r="R40" s="34"/>
      <c r="S40" s="34"/>
      <c r="T40" s="34"/>
      <c r="U40" s="32"/>
      <c r="V40" s="32"/>
      <c r="W40" s="32"/>
      <c r="X40" s="36"/>
      <c r="Y40" s="36"/>
      <c r="Z40" s="37"/>
    </row>
    <row r="41" spans="1:26">
      <c r="A41" s="47"/>
      <c r="B41" s="47" t="s">
        <v>55</v>
      </c>
      <c r="C41" s="47" t="s">
        <v>56</v>
      </c>
      <c r="D41" s="47" t="s">
        <v>57</v>
      </c>
      <c r="E41" s="47" t="s">
        <v>58</v>
      </c>
      <c r="F41" s="47" t="s">
        <v>59</v>
      </c>
      <c r="G41" s="47" t="s">
        <v>60</v>
      </c>
      <c r="H41" s="32"/>
      <c r="I41" s="34"/>
      <c r="J41" s="34"/>
      <c r="K41" s="34"/>
      <c r="Q41" s="34"/>
      <c r="R41" s="34"/>
      <c r="S41" s="34"/>
      <c r="T41" s="34"/>
      <c r="U41" s="32"/>
      <c r="V41" s="32"/>
      <c r="W41" s="32"/>
      <c r="X41" s="36"/>
      <c r="Y41" s="36"/>
      <c r="Z41" s="37"/>
    </row>
    <row r="42" spans="1:26">
      <c r="A42" s="47" t="s">
        <v>49</v>
      </c>
      <c r="B42" s="47">
        <v>0.3</v>
      </c>
      <c r="C42" s="47">
        <v>7.3800000000000004E-2</v>
      </c>
      <c r="D42" s="49">
        <v>1.65073</v>
      </c>
      <c r="E42" s="47">
        <v>0</v>
      </c>
      <c r="F42" s="47">
        <v>0</v>
      </c>
      <c r="G42" s="50">
        <v>0.2</v>
      </c>
      <c r="H42"/>
    </row>
    <row r="43" spans="1:26">
      <c r="A43" s="47" t="s">
        <v>52</v>
      </c>
      <c r="B43" s="47">
        <v>0.3</v>
      </c>
      <c r="C43" s="47">
        <v>0</v>
      </c>
      <c r="D43" s="49">
        <v>1.65073</v>
      </c>
      <c r="E43" s="47">
        <v>0</v>
      </c>
      <c r="F43" s="47">
        <v>0</v>
      </c>
      <c r="G43" s="50">
        <v>0.2</v>
      </c>
      <c r="H43"/>
    </row>
  </sheetData>
  <mergeCells count="8">
    <mergeCell ref="A9:B9"/>
    <mergeCell ref="A10:B10"/>
    <mergeCell ref="D2:E2"/>
    <mergeCell ref="D6:R6"/>
    <mergeCell ref="E7:H7"/>
    <mergeCell ref="I7:L7"/>
    <mergeCell ref="N8:O8"/>
    <mergeCell ref="P8:Q8"/>
  </mergeCells>
  <conditionalFormatting sqref="E9:L15">
    <cfRule type="colorScale" priority="1">
      <colorScale>
        <cfvo type="num" val="$J$22"/>
        <cfvo type="num" val="$J$22"/>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workbookViewId="0">
      <selection activeCell="B6" sqref="B6"/>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7"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7" ht="21" thickBot="1">
      <c r="D2" s="159" t="s">
        <v>72</v>
      </c>
      <c r="E2" s="160"/>
      <c r="F2" s="73"/>
      <c r="G2" s="73"/>
      <c r="H2" s="73"/>
      <c r="I2" s="73"/>
      <c r="J2" s="73"/>
      <c r="K2" s="73"/>
      <c r="L2" s="73"/>
      <c r="M2" s="73"/>
      <c r="N2" s="73"/>
      <c r="O2" s="73"/>
      <c r="P2" s="73"/>
      <c r="Q2" s="73"/>
      <c r="R2" s="74"/>
      <c r="S2" s="32"/>
      <c r="T2" s="32"/>
      <c r="U2" s="32"/>
      <c r="V2" s="32"/>
      <c r="W2" s="32"/>
      <c r="X2" s="32"/>
    </row>
    <row r="3" spans="1:27">
      <c r="A3" s="8" t="s">
        <v>74</v>
      </c>
      <c r="B3" s="122">
        <v>3072</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7">
      <c r="A4" s="8" t="s">
        <v>76</v>
      </c>
      <c r="B4" s="122">
        <v>1</v>
      </c>
      <c r="C4" s="3"/>
      <c r="D4" s="12" t="s">
        <v>80</v>
      </c>
      <c r="E4" s="123">
        <v>4.9980000000000002</v>
      </c>
      <c r="F4" s="14"/>
      <c r="G4" s="14" t="s">
        <v>37</v>
      </c>
      <c r="H4" s="13"/>
      <c r="I4" s="14"/>
      <c r="J4" s="14"/>
      <c r="K4" s="14"/>
      <c r="L4" s="14"/>
      <c r="M4" s="14"/>
      <c r="N4" s="14"/>
      <c r="O4" s="14"/>
      <c r="P4" s="40"/>
      <c r="Q4" s="40"/>
      <c r="R4" s="26"/>
      <c r="S4" s="32"/>
      <c r="T4" s="32"/>
      <c r="U4" s="32"/>
      <c r="V4" s="32"/>
      <c r="W4" s="32"/>
      <c r="X4" s="32"/>
    </row>
    <row r="5" spans="1:27" ht="16" thickBot="1">
      <c r="A5" s="20" t="s">
        <v>77</v>
      </c>
      <c r="B5" s="122">
        <v>4</v>
      </c>
      <c r="D5" s="12"/>
      <c r="E5" s="13"/>
      <c r="F5" s="14"/>
      <c r="G5" s="14" t="s">
        <v>15</v>
      </c>
      <c r="H5" s="22">
        <f>10^(0.4*(J41-$E$4))</f>
        <v>2093148.3034474531</v>
      </c>
      <c r="I5" s="22">
        <f>10^(0.4*(J42-$E$4))</f>
        <v>1150.2705477901168</v>
      </c>
      <c r="J5" s="14"/>
      <c r="K5" s="14"/>
      <c r="L5" s="14"/>
      <c r="M5" s="14"/>
      <c r="N5" s="14"/>
      <c r="O5" s="14"/>
      <c r="P5" s="40"/>
      <c r="Q5" s="40"/>
      <c r="R5" s="26"/>
      <c r="S5" s="32"/>
      <c r="T5" s="32"/>
      <c r="U5" s="32"/>
      <c r="V5" s="32"/>
      <c r="W5" s="32"/>
      <c r="X5" s="32"/>
    </row>
    <row r="6" spans="1:27" ht="16" thickBot="1">
      <c r="C6" s="55"/>
      <c r="D6" s="162" t="s">
        <v>8</v>
      </c>
      <c r="E6" s="163"/>
      <c r="F6" s="163"/>
      <c r="G6" s="163"/>
      <c r="H6" s="163"/>
      <c r="I6" s="163"/>
      <c r="J6" s="163"/>
      <c r="K6" s="163"/>
      <c r="L6" s="163"/>
      <c r="M6" s="163"/>
      <c r="N6" s="163"/>
      <c r="O6" s="163"/>
      <c r="P6" s="163"/>
      <c r="Q6" s="163"/>
      <c r="R6" s="164"/>
      <c r="S6" s="32"/>
      <c r="T6" s="32"/>
      <c r="U6" s="32"/>
      <c r="V6" s="32"/>
      <c r="W6" s="32"/>
      <c r="X6" s="32"/>
    </row>
    <row r="7" spans="1:27">
      <c r="D7" s="87"/>
      <c r="E7" s="165" t="s">
        <v>35</v>
      </c>
      <c r="F7" s="165"/>
      <c r="G7" s="165"/>
      <c r="H7" s="166"/>
      <c r="I7" s="167" t="s">
        <v>36</v>
      </c>
      <c r="J7" s="165"/>
      <c r="K7" s="165"/>
      <c r="L7" s="166"/>
      <c r="M7" s="62"/>
      <c r="N7" s="62"/>
      <c r="O7" s="66"/>
      <c r="P7" s="67"/>
      <c r="Q7" s="66"/>
      <c r="R7" s="63"/>
      <c r="S7" s="32"/>
      <c r="T7" s="32"/>
      <c r="U7" s="32"/>
      <c r="V7" s="32"/>
      <c r="W7" s="32"/>
      <c r="X7" s="32"/>
    </row>
    <row r="8" spans="1:27" ht="16" thickBot="1">
      <c r="A8" s="3"/>
      <c r="B8" s="3"/>
      <c r="C8" s="3"/>
      <c r="D8" s="88" t="s">
        <v>20</v>
      </c>
      <c r="E8" s="77" t="s">
        <v>11</v>
      </c>
      <c r="F8" s="77" t="s">
        <v>16</v>
      </c>
      <c r="G8" s="77" t="s">
        <v>17</v>
      </c>
      <c r="H8" s="77" t="s">
        <v>18</v>
      </c>
      <c r="I8" s="130" t="s">
        <v>11</v>
      </c>
      <c r="J8" s="77" t="s">
        <v>16</v>
      </c>
      <c r="K8" s="77" t="s">
        <v>17</v>
      </c>
      <c r="L8" s="77" t="s">
        <v>18</v>
      </c>
      <c r="M8" s="130" t="s">
        <v>14</v>
      </c>
      <c r="N8" s="168" t="s">
        <v>82</v>
      </c>
      <c r="O8" s="169"/>
      <c r="P8" s="170" t="s">
        <v>83</v>
      </c>
      <c r="Q8" s="171"/>
      <c r="R8" s="78" t="s">
        <v>63</v>
      </c>
      <c r="S8" s="33"/>
      <c r="T8" s="79" t="s">
        <v>49</v>
      </c>
      <c r="U8" s="80" t="s">
        <v>52</v>
      </c>
      <c r="V8" s="80" t="s">
        <v>81</v>
      </c>
      <c r="W8" s="81" t="s">
        <v>61</v>
      </c>
      <c r="X8" s="81" t="s">
        <v>62</v>
      </c>
    </row>
    <row r="9" spans="1:27">
      <c r="A9" s="157" t="s">
        <v>90</v>
      </c>
      <c r="B9" s="157"/>
      <c r="C9" s="82"/>
      <c r="D9" s="89">
        <v>0.84</v>
      </c>
      <c r="E9" s="110">
        <f>$H$5*D9</f>
        <v>1758244.5748958606</v>
      </c>
      <c r="F9" s="110">
        <f t="shared" ref="F9:F15" si="0">$H$5*D9/$J$38</f>
        <v>221400.85110972397</v>
      </c>
      <c r="G9" s="110">
        <f t="shared" ref="G9:G15" si="1">$H$5*D9/$J$39</f>
        <v>26422.827290427973</v>
      </c>
      <c r="H9" s="110">
        <f t="shared" ref="H9:H15" si="2">$H$5*D9/$J$40</f>
        <v>1496.1642939312474</v>
      </c>
      <c r="I9" s="21">
        <f>$I$5*D9</f>
        <v>966.227260143698</v>
      </c>
      <c r="J9" s="110">
        <f t="shared" ref="J9:J15" si="3">$I$5*D9/$J$38</f>
        <v>121.66881719165941</v>
      </c>
      <c r="K9" s="110">
        <f t="shared" ref="K9:K15" si="4">$I$5*D9/$J$39</f>
        <v>14.520423598970865</v>
      </c>
      <c r="L9" s="110">
        <f t="shared" ref="L9:L15" si="5">$I$5*D9/$J$40</f>
        <v>0.82220343352155278</v>
      </c>
      <c r="M9" s="21">
        <f t="shared" ref="M9:M15" si="6">ROUND($B$3/($B$4*D9*$B$5*$B$5),0)</f>
        <v>229</v>
      </c>
      <c r="N9" s="154">
        <f t="shared" ref="N9:N15" si="7">D9*M9*$B$4*$B$5^2</f>
        <v>3077.7599999999998</v>
      </c>
      <c r="O9" s="93">
        <f t="shared" ref="O9:O15" si="8">N9/(24*3600)</f>
        <v>3.5622222222222222E-2</v>
      </c>
      <c r="P9" s="96">
        <f t="shared" ref="P9:P15" si="9">X9</f>
        <v>6563.7071680000008</v>
      </c>
      <c r="Q9" s="93">
        <f t="shared" ref="Q9:Q15" si="10">P9/(24*3600)</f>
        <v>7.5968832962962973E-2</v>
      </c>
      <c r="R9" s="97">
        <f t="shared" ref="R9:R15" si="11">N9/P9</f>
        <v>0.46890574506507288</v>
      </c>
      <c r="T9" s="34">
        <f t="shared" ref="T9:T15" si="12">$B$48+M9*($C$48+$G$48+D9+$D$48)</f>
        <v>470.10357599999998</v>
      </c>
      <c r="U9" s="34">
        <f t="shared" ref="U9:U15" si="13">$B$49+M9*($G$49+D9+$D$49)</f>
        <v>407.36169800000005</v>
      </c>
      <c r="V9" s="34">
        <f>IF(D9&lt;0,T9,U9)</f>
        <v>407.36169800000005</v>
      </c>
      <c r="W9" s="34">
        <f t="shared" ref="W9:W15" si="14">(V9+$B$44)*$B$4</f>
        <v>408.46169800000007</v>
      </c>
      <c r="X9" s="34">
        <f t="shared" ref="X9:X15" si="15">(W9+$B$43)*$B$5^2</f>
        <v>6563.7071680000008</v>
      </c>
      <c r="Y9" s="36"/>
      <c r="Z9" s="36"/>
      <c r="AA9" s="37"/>
    </row>
    <row r="10" spans="1:27">
      <c r="A10" s="158" t="s">
        <v>89</v>
      </c>
      <c r="B10" s="158"/>
      <c r="D10" s="89">
        <v>2</v>
      </c>
      <c r="E10" s="110">
        <f t="shared" ref="E10:E15" si="16">$H$5*D10</f>
        <v>4186296.6068949061</v>
      </c>
      <c r="F10" s="110">
        <f t="shared" si="0"/>
        <v>527144.88359458081</v>
      </c>
      <c r="G10" s="110">
        <f t="shared" si="1"/>
        <v>62911.493548638027</v>
      </c>
      <c r="H10" s="110">
        <f t="shared" si="2"/>
        <v>3562.2959379315416</v>
      </c>
      <c r="I10" s="21">
        <f t="shared" ref="I10:I15" si="17">$I$5*D10</f>
        <v>2300.5410955802336</v>
      </c>
      <c r="J10" s="110">
        <f t="shared" si="3"/>
        <v>289.68765998014152</v>
      </c>
      <c r="K10" s="110">
        <f t="shared" si="4"/>
        <v>34.572437140406826</v>
      </c>
      <c r="L10" s="110">
        <f t="shared" si="5"/>
        <v>1.9576272226703642</v>
      </c>
      <c r="M10" s="21">
        <f t="shared" si="6"/>
        <v>96</v>
      </c>
      <c r="N10" s="92">
        <f t="shared" si="7"/>
        <v>3072</v>
      </c>
      <c r="O10" s="93">
        <f t="shared" si="8"/>
        <v>3.5555555555555556E-2</v>
      </c>
      <c r="P10" s="96">
        <f t="shared" si="9"/>
        <v>4562.8152320000008</v>
      </c>
      <c r="Q10" s="93">
        <f t="shared" si="10"/>
        <v>5.2810361481481494E-2</v>
      </c>
      <c r="R10" s="97">
        <f t="shared" si="11"/>
        <v>0.67326855105931216</v>
      </c>
      <c r="T10" s="34">
        <f t="shared" si="12"/>
        <v>308.60822400000001</v>
      </c>
      <c r="U10" s="34">
        <f t="shared" si="13"/>
        <v>282.30595200000005</v>
      </c>
      <c r="V10" s="34">
        <f t="shared" ref="V10:V15" si="18">IF(D10&lt;0,T10,U10)</f>
        <v>282.30595200000005</v>
      </c>
      <c r="W10" s="34">
        <f t="shared" si="14"/>
        <v>283.40595200000007</v>
      </c>
      <c r="X10" s="34">
        <f t="shared" si="15"/>
        <v>4562.8152320000008</v>
      </c>
      <c r="Y10" s="36"/>
      <c r="Z10" s="36"/>
      <c r="AA10" s="37"/>
    </row>
    <row r="11" spans="1:27">
      <c r="D11" s="89">
        <v>4</v>
      </c>
      <c r="E11" s="110">
        <f t="shared" si="16"/>
        <v>8372593.2137898123</v>
      </c>
      <c r="F11" s="110">
        <f t="shared" si="0"/>
        <v>1054289.7671891616</v>
      </c>
      <c r="G11" s="110">
        <f t="shared" si="1"/>
        <v>125822.98709727605</v>
      </c>
      <c r="H11" s="110">
        <f t="shared" si="2"/>
        <v>7124.5918758630833</v>
      </c>
      <c r="I11" s="21">
        <f t="shared" si="17"/>
        <v>4601.0821911604671</v>
      </c>
      <c r="J11" s="110">
        <f t="shared" si="3"/>
        <v>579.37531996028304</v>
      </c>
      <c r="K11" s="110">
        <f t="shared" si="4"/>
        <v>69.144874280813653</v>
      </c>
      <c r="L11" s="110">
        <f t="shared" si="5"/>
        <v>3.9152544453407283</v>
      </c>
      <c r="M11" s="21">
        <f t="shared" si="6"/>
        <v>48</v>
      </c>
      <c r="N11" s="92">
        <f t="shared" si="7"/>
        <v>3072</v>
      </c>
      <c r="O11" s="93">
        <f t="shared" si="8"/>
        <v>3.5555555555555556E-2</v>
      </c>
      <c r="P11" s="96">
        <f t="shared" si="9"/>
        <v>3842.7676160000001</v>
      </c>
      <c r="Q11" s="93">
        <f t="shared" si="10"/>
        <v>4.447647703703704E-2</v>
      </c>
      <c r="R11" s="97">
        <f t="shared" si="11"/>
        <v>0.79942382859926753</v>
      </c>
      <c r="T11" s="34">
        <f t="shared" si="12"/>
        <v>250.45411200000001</v>
      </c>
      <c r="U11" s="34">
        <f t="shared" si="13"/>
        <v>237.302976</v>
      </c>
      <c r="V11" s="34">
        <f t="shared" si="18"/>
        <v>237.302976</v>
      </c>
      <c r="W11" s="34">
        <f t="shared" si="14"/>
        <v>238.402976</v>
      </c>
      <c r="X11" s="34">
        <f t="shared" si="15"/>
        <v>3842.7676160000001</v>
      </c>
      <c r="Y11" s="36"/>
      <c r="Z11" s="36"/>
      <c r="AA11" s="37"/>
    </row>
    <row r="12" spans="1:27">
      <c r="D12" s="89">
        <v>8</v>
      </c>
      <c r="E12" s="110">
        <f t="shared" si="16"/>
        <v>16745186.427579625</v>
      </c>
      <c r="F12" s="110">
        <f t="shared" si="0"/>
        <v>2108579.5343783232</v>
      </c>
      <c r="G12" s="110">
        <f t="shared" si="1"/>
        <v>251645.97419455211</v>
      </c>
      <c r="H12" s="110">
        <f t="shared" si="2"/>
        <v>14249.183751726167</v>
      </c>
      <c r="I12" s="21">
        <f t="shared" si="17"/>
        <v>9202.1643823209342</v>
      </c>
      <c r="J12" s="110">
        <f t="shared" si="3"/>
        <v>1158.7506399205661</v>
      </c>
      <c r="K12" s="110">
        <f t="shared" si="4"/>
        <v>138.28974856162731</v>
      </c>
      <c r="L12" s="110">
        <f t="shared" si="5"/>
        <v>7.8305088906814566</v>
      </c>
      <c r="M12" s="21">
        <f t="shared" si="6"/>
        <v>24</v>
      </c>
      <c r="N12" s="92">
        <f t="shared" si="7"/>
        <v>3072</v>
      </c>
      <c r="O12" s="93">
        <f t="shared" si="8"/>
        <v>3.5555555555555556E-2</v>
      </c>
      <c r="P12" s="96">
        <f t="shared" si="9"/>
        <v>3482.7438080000002</v>
      </c>
      <c r="Q12" s="93">
        <f t="shared" si="10"/>
        <v>4.0309534814814814E-2</v>
      </c>
      <c r="R12" s="97">
        <f t="shared" si="11"/>
        <v>0.88206315748620223</v>
      </c>
      <c r="T12" s="34">
        <f t="shared" si="12"/>
        <v>221.37705600000001</v>
      </c>
      <c r="U12" s="34">
        <f t="shared" si="13"/>
        <v>214.80148800000001</v>
      </c>
      <c r="V12" s="34">
        <f t="shared" si="18"/>
        <v>214.80148800000001</v>
      </c>
      <c r="W12" s="34">
        <f t="shared" si="14"/>
        <v>215.901488</v>
      </c>
      <c r="X12" s="34">
        <f t="shared" si="15"/>
        <v>3482.7438080000002</v>
      </c>
      <c r="Y12" s="36"/>
      <c r="Z12" s="36"/>
      <c r="AA12" s="37"/>
    </row>
    <row r="13" spans="1:27">
      <c r="D13" s="89">
        <v>16</v>
      </c>
      <c r="E13" s="110">
        <f t="shared" si="16"/>
        <v>33490372.855159249</v>
      </c>
      <c r="F13" s="110">
        <f t="shared" si="0"/>
        <v>4217159.0687566465</v>
      </c>
      <c r="G13" s="110">
        <f t="shared" si="1"/>
        <v>503291.94838910422</v>
      </c>
      <c r="H13" s="110">
        <f t="shared" si="2"/>
        <v>28498.367503452333</v>
      </c>
      <c r="I13" s="21">
        <f t="shared" si="17"/>
        <v>18404.328764641868</v>
      </c>
      <c r="J13" s="110">
        <f t="shared" si="3"/>
        <v>2317.5012798411321</v>
      </c>
      <c r="K13" s="110">
        <f t="shared" si="4"/>
        <v>276.57949712325461</v>
      </c>
      <c r="L13" s="110">
        <f t="shared" si="5"/>
        <v>15.661017781362913</v>
      </c>
      <c r="M13" s="21">
        <f t="shared" si="6"/>
        <v>12</v>
      </c>
      <c r="N13" s="92">
        <f t="shared" si="7"/>
        <v>3072</v>
      </c>
      <c r="O13" s="93">
        <f t="shared" si="8"/>
        <v>3.5555555555555556E-2</v>
      </c>
      <c r="P13" s="96">
        <f t="shared" si="9"/>
        <v>3302.7319040000002</v>
      </c>
      <c r="Q13" s="93">
        <f t="shared" si="10"/>
        <v>3.8226063703703704E-2</v>
      </c>
      <c r="R13" s="97">
        <f t="shared" si="11"/>
        <v>0.93013907555725106</v>
      </c>
      <c r="T13" s="34">
        <f t="shared" si="12"/>
        <v>206.838528</v>
      </c>
      <c r="U13" s="34">
        <f t="shared" si="13"/>
        <v>203.55074400000001</v>
      </c>
      <c r="V13" s="34">
        <f t="shared" si="18"/>
        <v>203.55074400000001</v>
      </c>
      <c r="W13" s="34">
        <f t="shared" si="14"/>
        <v>204.650744</v>
      </c>
      <c r="X13" s="34">
        <f t="shared" si="15"/>
        <v>3302.7319040000002</v>
      </c>
      <c r="Y13" s="36"/>
      <c r="Z13" s="36"/>
      <c r="AA13" s="37"/>
    </row>
    <row r="14" spans="1:27">
      <c r="D14" s="89">
        <v>32</v>
      </c>
      <c r="E14" s="110">
        <f t="shared" si="16"/>
        <v>66980745.710318498</v>
      </c>
      <c r="F14" s="110">
        <f t="shared" si="0"/>
        <v>8434318.137513293</v>
      </c>
      <c r="G14" s="110">
        <f t="shared" si="1"/>
        <v>1006583.8967782084</v>
      </c>
      <c r="H14" s="110">
        <f t="shared" si="2"/>
        <v>56996.735006904666</v>
      </c>
      <c r="I14" s="21">
        <f t="shared" si="17"/>
        <v>36808.657529283737</v>
      </c>
      <c r="J14" s="110">
        <f t="shared" si="3"/>
        <v>4635.0025596822643</v>
      </c>
      <c r="K14" s="110">
        <f t="shared" si="4"/>
        <v>553.15899424650922</v>
      </c>
      <c r="L14" s="110">
        <f t="shared" si="5"/>
        <v>31.322035562725826</v>
      </c>
      <c r="M14" s="21">
        <f t="shared" si="6"/>
        <v>6</v>
      </c>
      <c r="N14" s="92">
        <f t="shared" si="7"/>
        <v>3072</v>
      </c>
      <c r="O14" s="93">
        <f t="shared" si="8"/>
        <v>3.5555555555555556E-2</v>
      </c>
      <c r="P14" s="96">
        <f t="shared" si="9"/>
        <v>3212.7259520000002</v>
      </c>
      <c r="Q14" s="93">
        <f t="shared" si="10"/>
        <v>3.7184328148148149E-2</v>
      </c>
      <c r="R14" s="97">
        <f t="shared" si="11"/>
        <v>0.95619733705814691</v>
      </c>
      <c r="T14" s="34">
        <f t="shared" si="12"/>
        <v>199.56926400000003</v>
      </c>
      <c r="U14" s="34">
        <f t="shared" si="13"/>
        <v>197.92537200000001</v>
      </c>
      <c r="V14" s="34">
        <f t="shared" si="18"/>
        <v>197.92537200000001</v>
      </c>
      <c r="W14" s="34">
        <f t="shared" si="14"/>
        <v>199.025372</v>
      </c>
      <c r="X14" s="34">
        <f t="shared" si="15"/>
        <v>3212.7259520000002</v>
      </c>
      <c r="Y14" s="36"/>
      <c r="Z14" s="36"/>
      <c r="AA14" s="37"/>
    </row>
    <row r="15" spans="1:27" ht="16" thickBot="1">
      <c r="D15" s="90">
        <v>64</v>
      </c>
      <c r="E15" s="114">
        <f t="shared" si="16"/>
        <v>133961491.420637</v>
      </c>
      <c r="F15" s="114">
        <f t="shared" si="0"/>
        <v>16868636.275026586</v>
      </c>
      <c r="G15" s="114">
        <f t="shared" si="1"/>
        <v>2013167.7935564169</v>
      </c>
      <c r="H15" s="114">
        <f t="shared" si="2"/>
        <v>113993.47001380933</v>
      </c>
      <c r="I15" s="27">
        <f t="shared" si="17"/>
        <v>73617.315058567474</v>
      </c>
      <c r="J15" s="114">
        <f t="shared" si="3"/>
        <v>9270.0051193645286</v>
      </c>
      <c r="K15" s="114">
        <f t="shared" si="4"/>
        <v>1106.3179884930184</v>
      </c>
      <c r="L15" s="114">
        <f t="shared" si="5"/>
        <v>62.644071125451653</v>
      </c>
      <c r="M15" s="115">
        <f t="shared" si="6"/>
        <v>3</v>
      </c>
      <c r="N15" s="94">
        <f t="shared" si="7"/>
        <v>3072</v>
      </c>
      <c r="O15" s="95">
        <f t="shared" si="8"/>
        <v>3.5555555555555556E-2</v>
      </c>
      <c r="P15" s="98">
        <f t="shared" si="9"/>
        <v>3167.722976</v>
      </c>
      <c r="Q15" s="95">
        <f t="shared" si="10"/>
        <v>3.6663460370370368E-2</v>
      </c>
      <c r="R15" s="99">
        <f t="shared" si="11"/>
        <v>0.9697817717252305</v>
      </c>
      <c r="T15" s="34">
        <f t="shared" si="12"/>
        <v>195.93463200000002</v>
      </c>
      <c r="U15" s="34">
        <f t="shared" si="13"/>
        <v>195.112686</v>
      </c>
      <c r="V15" s="34">
        <f t="shared" si="18"/>
        <v>195.112686</v>
      </c>
      <c r="W15" s="34">
        <f t="shared" si="14"/>
        <v>196.21268599999999</v>
      </c>
      <c r="X15" s="34">
        <f t="shared" si="15"/>
        <v>3167.722976</v>
      </c>
      <c r="Y15" s="36"/>
      <c r="Z15" s="36"/>
      <c r="AA15" s="37"/>
    </row>
    <row r="16" spans="1:27" ht="16" thickBot="1">
      <c r="D16" s="23"/>
      <c r="E16" s="24"/>
      <c r="F16" s="24"/>
      <c r="G16" s="24"/>
      <c r="H16" s="24"/>
      <c r="I16" s="24"/>
      <c r="J16" s="24"/>
      <c r="K16" s="24"/>
      <c r="L16" s="24"/>
      <c r="M16" s="25"/>
      <c r="N16" s="40"/>
      <c r="O16" s="41"/>
      <c r="P16" s="35"/>
      <c r="Q16" s="41"/>
      <c r="R16" s="64"/>
      <c r="T16" s="34"/>
      <c r="U16" s="34"/>
      <c r="V16" s="34"/>
      <c r="W16" s="34"/>
      <c r="X16" s="34"/>
      <c r="Y16" s="36"/>
      <c r="Z16" s="36"/>
      <c r="AA16" s="37"/>
    </row>
    <row r="17" spans="1:27" ht="16" thickBot="1">
      <c r="D17" s="172" t="s">
        <v>6</v>
      </c>
      <c r="E17" s="173"/>
      <c r="F17" s="173"/>
      <c r="G17" s="173"/>
      <c r="H17" s="173"/>
      <c r="I17" s="173"/>
      <c r="J17" s="173"/>
      <c r="K17" s="173"/>
      <c r="L17" s="173"/>
      <c r="M17" s="173"/>
      <c r="N17" s="173"/>
      <c r="O17" s="173"/>
      <c r="P17" s="173"/>
      <c r="Q17" s="173"/>
      <c r="R17" s="174"/>
      <c r="T17" s="34"/>
      <c r="U17" s="34"/>
      <c r="V17" s="34"/>
      <c r="W17" s="34"/>
      <c r="X17" s="34"/>
    </row>
    <row r="18" spans="1:27">
      <c r="D18" s="87"/>
      <c r="E18" s="165" t="s">
        <v>35</v>
      </c>
      <c r="F18" s="165"/>
      <c r="G18" s="165"/>
      <c r="H18" s="166"/>
      <c r="I18" s="167" t="s">
        <v>36</v>
      </c>
      <c r="J18" s="165"/>
      <c r="K18" s="165"/>
      <c r="L18" s="166"/>
      <c r="M18" s="62"/>
      <c r="N18" s="62"/>
      <c r="O18" s="68"/>
      <c r="P18" s="69"/>
      <c r="Q18" s="68"/>
      <c r="R18" s="65"/>
      <c r="T18" s="34"/>
      <c r="U18" s="34"/>
      <c r="V18" s="34"/>
      <c r="W18" s="34"/>
      <c r="X18" s="34"/>
    </row>
    <row r="19" spans="1:27" ht="16" thickBot="1">
      <c r="D19" s="88" t="s">
        <v>20</v>
      </c>
      <c r="E19" s="77" t="s">
        <v>11</v>
      </c>
      <c r="F19" s="77" t="s">
        <v>16</v>
      </c>
      <c r="G19" s="77" t="s">
        <v>17</v>
      </c>
      <c r="H19" s="77" t="s">
        <v>18</v>
      </c>
      <c r="I19" s="130" t="s">
        <v>11</v>
      </c>
      <c r="J19" s="77" t="s">
        <v>16</v>
      </c>
      <c r="K19" s="77" t="s">
        <v>17</v>
      </c>
      <c r="L19" s="77" t="s">
        <v>18</v>
      </c>
      <c r="M19" s="130" t="s">
        <v>14</v>
      </c>
      <c r="N19" s="168" t="s">
        <v>82</v>
      </c>
      <c r="O19" s="169"/>
      <c r="P19" s="170" t="s">
        <v>83</v>
      </c>
      <c r="Q19" s="171"/>
      <c r="R19" s="78" t="s">
        <v>63</v>
      </c>
      <c r="S19" s="33"/>
      <c r="T19" s="79" t="s">
        <v>49</v>
      </c>
      <c r="U19" s="80" t="s">
        <v>52</v>
      </c>
      <c r="V19" s="80" t="s">
        <v>81</v>
      </c>
      <c r="W19" s="81" t="s">
        <v>61</v>
      </c>
      <c r="X19" s="81" t="s">
        <v>62</v>
      </c>
    </row>
    <row r="20" spans="1:27">
      <c r="D20" s="89">
        <v>0.84</v>
      </c>
      <c r="E20" s="110">
        <f t="shared" ref="E20:E26" si="19">$H$5*D20/$K$37</f>
        <v>502202.98073609511</v>
      </c>
      <c r="F20" s="110">
        <f t="shared" ref="F20:F26" si="20">$H$5*D20/$K$38</f>
        <v>63238.168882959493</v>
      </c>
      <c r="G20" s="110">
        <f t="shared" ref="G20:G26" si="21">$H$5*D20/$K$39</f>
        <v>7547.0857775937784</v>
      </c>
      <c r="H20" s="110">
        <f t="shared" ref="H20:H26" si="22">$H$5*D20/$K$40</f>
        <v>427.34564850154089</v>
      </c>
      <c r="I20" s="111">
        <f t="shared" ref="I20:I26" si="23">$I$5*D20/$K$37</f>
        <v>275.98106488761726</v>
      </c>
      <c r="J20" s="110">
        <f t="shared" ref="J20:J26" si="24">$I$5*D20/$K$38</f>
        <v>34.751958589097569</v>
      </c>
      <c r="K20" s="110">
        <f t="shared" ref="K20:K26" si="25">$I$5*D20/$K$39</f>
        <v>4.1474321132973309</v>
      </c>
      <c r="L20" s="110">
        <f t="shared" ref="L20:L26" si="26">$I$5*D20/$K$40</f>
        <v>0.23484390111678985</v>
      </c>
      <c r="M20" s="38">
        <f t="shared" ref="M20:M26" si="27">ROUND($B$3/($B$4*D20*$B$5*$B$5),0)</f>
        <v>229</v>
      </c>
      <c r="N20" s="154">
        <f t="shared" ref="N20:N26" si="28">D20*M20*$B$4*$B$5^2</f>
        <v>3077.7599999999998</v>
      </c>
      <c r="O20" s="93">
        <f t="shared" ref="O20:O26" si="29">N20/(24*3600)</f>
        <v>3.5622222222222222E-2</v>
      </c>
      <c r="P20" s="96">
        <f t="shared" ref="P20:P26" si="30">X20</f>
        <v>6563.7071680000008</v>
      </c>
      <c r="Q20" s="93">
        <f t="shared" ref="Q20:Q26" si="31">P20/(24*3600)</f>
        <v>7.5968832962962973E-2</v>
      </c>
      <c r="R20" s="97">
        <f t="shared" ref="R20:R26" si="32">N20/P20</f>
        <v>0.46890574506507288</v>
      </c>
      <c r="T20" s="34">
        <f t="shared" ref="T20:T26" si="33">$B$48+M20*($C$48+$G$48+D20+$D$48)</f>
        <v>470.10357599999998</v>
      </c>
      <c r="U20" s="34">
        <f t="shared" ref="U20:U26" si="34">$B$49+M20*($G$49+D20+$D$49)</f>
        <v>407.36169800000005</v>
      </c>
      <c r="V20" s="34">
        <f>IF(D20&lt;0,T20,U20)</f>
        <v>407.36169800000005</v>
      </c>
      <c r="W20" s="34">
        <f t="shared" ref="W20:W26" si="35">(V20+$B$44)*$B$4</f>
        <v>408.46169800000007</v>
      </c>
      <c r="X20" s="34">
        <f t="shared" ref="X20:X26" si="36">(W20+$B$43)*$B$5^2</f>
        <v>6563.7071680000008</v>
      </c>
      <c r="Y20" s="36"/>
      <c r="Z20" s="36"/>
      <c r="AA20" s="37"/>
    </row>
    <row r="21" spans="1:27">
      <c r="D21" s="89">
        <v>2</v>
      </c>
      <c r="E21" s="110">
        <f t="shared" si="19"/>
        <v>1195721.3827049884</v>
      </c>
      <c r="F21" s="110">
        <f t="shared" si="20"/>
        <v>150567.06876895117</v>
      </c>
      <c r="G21" s="110">
        <f t="shared" si="21"/>
        <v>17969.251851413759</v>
      </c>
      <c r="H21" s="110">
        <f t="shared" si="22"/>
        <v>1017.4896392893831</v>
      </c>
      <c r="I21" s="111">
        <f t="shared" si="23"/>
        <v>657.09777354194591</v>
      </c>
      <c r="J21" s="110">
        <f t="shared" si="24"/>
        <v>82.742758545470423</v>
      </c>
      <c r="K21" s="110">
        <f t="shared" si="25"/>
        <v>9.8748383649936464</v>
      </c>
      <c r="L21" s="110">
        <f t="shared" si="26"/>
        <v>0.55915214551616632</v>
      </c>
      <c r="M21" s="21">
        <f t="shared" si="27"/>
        <v>96</v>
      </c>
      <c r="N21" s="92">
        <f t="shared" si="28"/>
        <v>3072</v>
      </c>
      <c r="O21" s="93">
        <f t="shared" si="29"/>
        <v>3.5555555555555556E-2</v>
      </c>
      <c r="P21" s="96">
        <f t="shared" si="30"/>
        <v>4562.8152320000008</v>
      </c>
      <c r="Q21" s="93">
        <f t="shared" si="31"/>
        <v>5.2810361481481494E-2</v>
      </c>
      <c r="R21" s="97">
        <f t="shared" si="32"/>
        <v>0.67326855105931216</v>
      </c>
      <c r="T21" s="34">
        <f t="shared" si="33"/>
        <v>308.60822400000001</v>
      </c>
      <c r="U21" s="34">
        <f t="shared" si="34"/>
        <v>282.30595200000005</v>
      </c>
      <c r="V21" s="34">
        <f t="shared" ref="V21:V26" si="37">IF(D21&lt;0,T21,U21)</f>
        <v>282.30595200000005</v>
      </c>
      <c r="W21" s="34">
        <f t="shared" si="35"/>
        <v>283.40595200000007</v>
      </c>
      <c r="X21" s="34">
        <f t="shared" si="36"/>
        <v>4562.8152320000008</v>
      </c>
      <c r="Y21" s="36"/>
      <c r="Z21" s="36"/>
      <c r="AA21" s="37"/>
    </row>
    <row r="22" spans="1:27">
      <c r="D22" s="89">
        <v>4</v>
      </c>
      <c r="E22" s="110">
        <f t="shared" si="19"/>
        <v>2391442.7654099767</v>
      </c>
      <c r="F22" s="110">
        <f t="shared" si="20"/>
        <v>301134.13753790234</v>
      </c>
      <c r="G22" s="110">
        <f t="shared" si="21"/>
        <v>35938.503702827518</v>
      </c>
      <c r="H22" s="110">
        <f t="shared" si="22"/>
        <v>2034.9792785787663</v>
      </c>
      <c r="I22" s="111">
        <f t="shared" si="23"/>
        <v>1314.1955470838918</v>
      </c>
      <c r="J22" s="110">
        <f t="shared" si="24"/>
        <v>165.48551709094085</v>
      </c>
      <c r="K22" s="110">
        <f t="shared" si="25"/>
        <v>19.749676729987293</v>
      </c>
      <c r="L22" s="110">
        <f t="shared" si="26"/>
        <v>1.1183042910323326</v>
      </c>
      <c r="M22" s="21">
        <f t="shared" si="27"/>
        <v>48</v>
      </c>
      <c r="N22" s="92">
        <f t="shared" si="28"/>
        <v>3072</v>
      </c>
      <c r="O22" s="93">
        <f t="shared" si="29"/>
        <v>3.5555555555555556E-2</v>
      </c>
      <c r="P22" s="96">
        <f t="shared" si="30"/>
        <v>3842.7676160000001</v>
      </c>
      <c r="Q22" s="93">
        <f t="shared" si="31"/>
        <v>4.447647703703704E-2</v>
      </c>
      <c r="R22" s="97">
        <f t="shared" si="32"/>
        <v>0.79942382859926753</v>
      </c>
      <c r="T22" s="34">
        <f t="shared" si="33"/>
        <v>250.45411200000001</v>
      </c>
      <c r="U22" s="34">
        <f t="shared" si="34"/>
        <v>237.302976</v>
      </c>
      <c r="V22" s="34">
        <f t="shared" si="37"/>
        <v>237.302976</v>
      </c>
      <c r="W22" s="34">
        <f t="shared" si="35"/>
        <v>238.402976</v>
      </c>
      <c r="X22" s="34">
        <f t="shared" si="36"/>
        <v>3842.7676160000001</v>
      </c>
      <c r="Y22" s="36"/>
      <c r="Z22" s="36"/>
      <c r="AA22" s="37"/>
    </row>
    <row r="23" spans="1:27">
      <c r="D23" s="89">
        <v>8</v>
      </c>
      <c r="E23" s="110">
        <f t="shared" si="19"/>
        <v>4782885.5308199534</v>
      </c>
      <c r="F23" s="110">
        <f t="shared" si="20"/>
        <v>602268.27507580467</v>
      </c>
      <c r="G23" s="110">
        <f t="shared" si="21"/>
        <v>71877.007405655037</v>
      </c>
      <c r="H23" s="110">
        <f t="shared" si="22"/>
        <v>4069.9585571575326</v>
      </c>
      <c r="I23" s="111">
        <f t="shared" si="23"/>
        <v>2628.3910941677836</v>
      </c>
      <c r="J23" s="110">
        <f t="shared" si="24"/>
        <v>330.97103418188169</v>
      </c>
      <c r="K23" s="110">
        <f t="shared" si="25"/>
        <v>39.499353459974586</v>
      </c>
      <c r="L23" s="110">
        <f t="shared" si="26"/>
        <v>2.2366085820646653</v>
      </c>
      <c r="M23" s="21">
        <f t="shared" si="27"/>
        <v>24</v>
      </c>
      <c r="N23" s="92">
        <f t="shared" si="28"/>
        <v>3072</v>
      </c>
      <c r="O23" s="93">
        <f t="shared" si="29"/>
        <v>3.5555555555555556E-2</v>
      </c>
      <c r="P23" s="96">
        <f t="shared" si="30"/>
        <v>3482.7438080000002</v>
      </c>
      <c r="Q23" s="93">
        <f t="shared" si="31"/>
        <v>4.0309534814814814E-2</v>
      </c>
      <c r="R23" s="97">
        <f t="shared" si="32"/>
        <v>0.88206315748620223</v>
      </c>
      <c r="T23" s="34">
        <f t="shared" si="33"/>
        <v>221.37705600000001</v>
      </c>
      <c r="U23" s="34">
        <f t="shared" si="34"/>
        <v>214.80148800000001</v>
      </c>
      <c r="V23" s="34">
        <f t="shared" si="37"/>
        <v>214.80148800000001</v>
      </c>
      <c r="W23" s="34">
        <f t="shared" si="35"/>
        <v>215.901488</v>
      </c>
      <c r="X23" s="34">
        <f t="shared" si="36"/>
        <v>3482.7438080000002</v>
      </c>
      <c r="Y23" s="36"/>
      <c r="Z23" s="36"/>
      <c r="AA23" s="37"/>
    </row>
    <row r="24" spans="1:27">
      <c r="D24" s="89">
        <v>16</v>
      </c>
      <c r="E24" s="110">
        <f t="shared" si="19"/>
        <v>9565771.0616399068</v>
      </c>
      <c r="F24" s="110">
        <f t="shared" si="20"/>
        <v>1204536.5501516093</v>
      </c>
      <c r="G24" s="110">
        <f t="shared" si="21"/>
        <v>143754.01481131007</v>
      </c>
      <c r="H24" s="110">
        <f t="shared" si="22"/>
        <v>8139.9171143150652</v>
      </c>
      <c r="I24" s="111">
        <f t="shared" si="23"/>
        <v>5256.7821883355673</v>
      </c>
      <c r="J24" s="110">
        <f t="shared" si="24"/>
        <v>661.94206836376338</v>
      </c>
      <c r="K24" s="110">
        <f t="shared" si="25"/>
        <v>78.998706919949171</v>
      </c>
      <c r="L24" s="110">
        <f t="shared" si="26"/>
        <v>4.4732171641293306</v>
      </c>
      <c r="M24" s="21">
        <f t="shared" si="27"/>
        <v>12</v>
      </c>
      <c r="N24" s="92">
        <f t="shared" si="28"/>
        <v>3072</v>
      </c>
      <c r="O24" s="93">
        <f t="shared" si="29"/>
        <v>3.5555555555555556E-2</v>
      </c>
      <c r="P24" s="96">
        <f t="shared" si="30"/>
        <v>3302.7319040000002</v>
      </c>
      <c r="Q24" s="93">
        <f t="shared" si="31"/>
        <v>3.8226063703703704E-2</v>
      </c>
      <c r="R24" s="97">
        <f t="shared" si="32"/>
        <v>0.93013907555725106</v>
      </c>
      <c r="T24" s="34">
        <f t="shared" si="33"/>
        <v>206.838528</v>
      </c>
      <c r="U24" s="34">
        <f t="shared" si="34"/>
        <v>203.55074400000001</v>
      </c>
      <c r="V24" s="34">
        <f t="shared" si="37"/>
        <v>203.55074400000001</v>
      </c>
      <c r="W24" s="34">
        <f t="shared" si="35"/>
        <v>204.650744</v>
      </c>
      <c r="X24" s="34">
        <f t="shared" si="36"/>
        <v>3302.7319040000002</v>
      </c>
      <c r="Y24" s="36"/>
      <c r="Z24" s="36"/>
      <c r="AA24" s="37"/>
    </row>
    <row r="25" spans="1:27">
      <c r="D25" s="89">
        <v>32</v>
      </c>
      <c r="E25" s="110">
        <f t="shared" si="19"/>
        <v>19131542.123279814</v>
      </c>
      <c r="F25" s="110">
        <f t="shared" si="20"/>
        <v>2409073.1003032187</v>
      </c>
      <c r="G25" s="110">
        <f t="shared" si="21"/>
        <v>287508.02962262015</v>
      </c>
      <c r="H25" s="110">
        <f t="shared" si="22"/>
        <v>16279.83422863013</v>
      </c>
      <c r="I25" s="111">
        <f t="shared" si="23"/>
        <v>10513.564376671135</v>
      </c>
      <c r="J25" s="110">
        <f t="shared" si="24"/>
        <v>1323.8841367275268</v>
      </c>
      <c r="K25" s="110">
        <f t="shared" si="25"/>
        <v>157.99741383989834</v>
      </c>
      <c r="L25" s="110">
        <f t="shared" si="26"/>
        <v>8.9464343282586611</v>
      </c>
      <c r="M25" s="21">
        <f t="shared" si="27"/>
        <v>6</v>
      </c>
      <c r="N25" s="92">
        <f t="shared" si="28"/>
        <v>3072</v>
      </c>
      <c r="O25" s="93">
        <f t="shared" si="29"/>
        <v>3.5555555555555556E-2</v>
      </c>
      <c r="P25" s="96">
        <f t="shared" si="30"/>
        <v>3212.7259520000002</v>
      </c>
      <c r="Q25" s="93">
        <f t="shared" si="31"/>
        <v>3.7184328148148149E-2</v>
      </c>
      <c r="R25" s="97">
        <f t="shared" si="32"/>
        <v>0.95619733705814691</v>
      </c>
      <c r="T25" s="34">
        <f t="shared" si="33"/>
        <v>199.56926400000003</v>
      </c>
      <c r="U25" s="34">
        <f t="shared" si="34"/>
        <v>197.92537200000001</v>
      </c>
      <c r="V25" s="34">
        <f t="shared" si="37"/>
        <v>197.92537200000001</v>
      </c>
      <c r="W25" s="34">
        <f t="shared" si="35"/>
        <v>199.025372</v>
      </c>
      <c r="X25" s="34">
        <f t="shared" si="36"/>
        <v>3212.7259520000002</v>
      </c>
      <c r="Y25" s="36"/>
      <c r="Z25" s="36"/>
      <c r="AA25" s="37"/>
    </row>
    <row r="26" spans="1:27" ht="16" thickBot="1">
      <c r="D26" s="90">
        <v>64</v>
      </c>
      <c r="E26" s="114">
        <f t="shared" si="19"/>
        <v>38263084.246559627</v>
      </c>
      <c r="F26" s="114">
        <f t="shared" si="20"/>
        <v>4818146.2006064374</v>
      </c>
      <c r="G26" s="114">
        <f t="shared" si="21"/>
        <v>575016.05924524029</v>
      </c>
      <c r="H26" s="114">
        <f t="shared" si="22"/>
        <v>32559.668457260261</v>
      </c>
      <c r="I26" s="116">
        <f t="shared" si="23"/>
        <v>21027.128753342269</v>
      </c>
      <c r="J26" s="114">
        <f t="shared" si="24"/>
        <v>2647.7682734550535</v>
      </c>
      <c r="K26" s="114">
        <f t="shared" si="25"/>
        <v>315.99482767979669</v>
      </c>
      <c r="L26" s="114">
        <f t="shared" si="26"/>
        <v>17.892868656517322</v>
      </c>
      <c r="M26" s="115">
        <f t="shared" si="27"/>
        <v>3</v>
      </c>
      <c r="N26" s="94">
        <f t="shared" si="28"/>
        <v>3072</v>
      </c>
      <c r="O26" s="95">
        <f t="shared" si="29"/>
        <v>3.5555555555555556E-2</v>
      </c>
      <c r="P26" s="98">
        <f t="shared" si="30"/>
        <v>3167.722976</v>
      </c>
      <c r="Q26" s="95">
        <f t="shared" si="31"/>
        <v>3.6663460370370368E-2</v>
      </c>
      <c r="R26" s="99">
        <f t="shared" si="32"/>
        <v>0.9697817717252305</v>
      </c>
      <c r="T26" s="34">
        <f t="shared" si="33"/>
        <v>195.93463200000002</v>
      </c>
      <c r="U26" s="34">
        <f t="shared" si="34"/>
        <v>195.112686</v>
      </c>
      <c r="V26" s="34">
        <f t="shared" si="37"/>
        <v>195.112686</v>
      </c>
      <c r="W26" s="34">
        <f t="shared" si="35"/>
        <v>196.21268599999999</v>
      </c>
      <c r="X26" s="34">
        <f t="shared" si="36"/>
        <v>3167.722976</v>
      </c>
      <c r="Y26" s="36"/>
      <c r="Z26" s="36"/>
      <c r="AA26" s="37"/>
    </row>
    <row r="27" spans="1:27">
      <c r="D27" s="13"/>
      <c r="E27" s="14"/>
      <c r="F27" s="13"/>
      <c r="G27" s="13"/>
      <c r="H27" s="14"/>
      <c r="I27" s="14"/>
      <c r="J27" s="14"/>
      <c r="K27" s="14"/>
      <c r="L27" s="14"/>
      <c r="M27" s="14"/>
      <c r="N27" s="14"/>
    </row>
    <row r="28" spans="1:27">
      <c r="E28"/>
      <c r="F28" s="1"/>
      <c r="H28"/>
    </row>
    <row r="29" spans="1:27">
      <c r="E29"/>
      <c r="F29" s="1"/>
      <c r="H29"/>
    </row>
    <row r="30" spans="1:27" s="91" customFormat="1" ht="20">
      <c r="A30" s="56" t="s">
        <v>86</v>
      </c>
      <c r="B30" s="56"/>
      <c r="C30" s="56"/>
      <c r="D30" s="56"/>
      <c r="E30" s="56"/>
      <c r="F30" s="56"/>
      <c r="G30" s="56"/>
      <c r="H30" s="56"/>
      <c r="I30" s="56"/>
      <c r="J30" s="56"/>
      <c r="K30" s="56"/>
      <c r="L30" s="56"/>
      <c r="M30" s="56"/>
      <c r="N30" s="56"/>
      <c r="O30" s="56"/>
      <c r="P30" s="56"/>
      <c r="Q30" s="56"/>
      <c r="R30" s="56"/>
      <c r="S30" s="56"/>
      <c r="T30" s="56"/>
      <c r="U30" s="56"/>
      <c r="V30" s="56"/>
      <c r="W30" s="56"/>
      <c r="X30" s="56"/>
    </row>
    <row r="31" spans="1:27">
      <c r="D31"/>
      <c r="E31"/>
      <c r="G31"/>
      <c r="H31"/>
    </row>
    <row r="33" spans="1:24">
      <c r="A33" s="51" t="s">
        <v>4</v>
      </c>
      <c r="B33" s="44"/>
      <c r="C33" s="45"/>
      <c r="E33" s="47"/>
      <c r="F33" s="47"/>
      <c r="G33" s="47"/>
      <c r="H33" s="47"/>
      <c r="I33" s="18" t="s">
        <v>19</v>
      </c>
      <c r="J33" s="35">
        <v>20000</v>
      </c>
      <c r="K33" s="14" t="s">
        <v>39</v>
      </c>
    </row>
    <row r="34" spans="1:24">
      <c r="A34" s="47" t="s">
        <v>5</v>
      </c>
      <c r="B34" s="46" t="s">
        <v>8</v>
      </c>
      <c r="C34" s="47">
        <v>0</v>
      </c>
      <c r="E34" s="47"/>
      <c r="F34" s="47"/>
      <c r="G34" s="47"/>
      <c r="H34" s="47"/>
      <c r="I34" s="9"/>
      <c r="J34" s="29"/>
      <c r="K34" s="14"/>
    </row>
    <row r="35" spans="1:24">
      <c r="A35" s="47" t="s">
        <v>16</v>
      </c>
      <c r="B35" s="46" t="s">
        <v>8</v>
      </c>
      <c r="C35" s="47">
        <v>0.89990000000000003</v>
      </c>
      <c r="E35" s="47"/>
      <c r="F35" s="47"/>
      <c r="G35" s="47"/>
      <c r="H35" s="47"/>
      <c r="I35" s="31" t="s">
        <v>72</v>
      </c>
      <c r="J35" s="42"/>
      <c r="K35" s="42"/>
    </row>
    <row r="36" spans="1:24">
      <c r="A36" s="47" t="s">
        <v>17</v>
      </c>
      <c r="B36" s="46" t="s">
        <v>8</v>
      </c>
      <c r="C36" s="47">
        <v>1.8230999999999999</v>
      </c>
      <c r="E36" s="47"/>
      <c r="F36" s="47"/>
      <c r="G36" s="47"/>
      <c r="H36" s="47"/>
      <c r="I36" s="54"/>
      <c r="J36" s="54" t="s">
        <v>8</v>
      </c>
      <c r="K36" s="54" t="s">
        <v>6</v>
      </c>
    </row>
    <row r="37" spans="1:24">
      <c r="A37" s="47" t="s">
        <v>18</v>
      </c>
      <c r="B37" s="46" t="s">
        <v>8</v>
      </c>
      <c r="C37" s="47">
        <v>3.0701000000000001</v>
      </c>
      <c r="E37" s="47"/>
      <c r="F37" s="47"/>
      <c r="G37" s="47"/>
      <c r="H37" s="47"/>
      <c r="I37" s="28" t="s">
        <v>2</v>
      </c>
      <c r="J37" s="58">
        <f>10^C34</f>
        <v>1</v>
      </c>
      <c r="K37" s="58">
        <f>J37*10^$C$38</f>
        <v>3.5010635984651959</v>
      </c>
    </row>
    <row r="38" spans="1:24">
      <c r="A38" s="47" t="s">
        <v>79</v>
      </c>
      <c r="B38" s="46" t="s">
        <v>6</v>
      </c>
      <c r="C38" s="47">
        <v>0.54420000000000002</v>
      </c>
      <c r="E38" s="47"/>
      <c r="F38" s="47"/>
      <c r="G38" s="47"/>
      <c r="H38" s="47"/>
      <c r="I38" s="28" t="s">
        <v>22</v>
      </c>
      <c r="J38" s="58">
        <f>10^C35</f>
        <v>7.9414535494468037</v>
      </c>
      <c r="K38" s="58">
        <f>J38*10^$C$38</f>
        <v>27.80353394087043</v>
      </c>
    </row>
    <row r="39" spans="1:24">
      <c r="A39" s="47" t="s">
        <v>3</v>
      </c>
      <c r="B39" s="46" t="s">
        <v>3</v>
      </c>
      <c r="C39" s="46" t="s">
        <v>3</v>
      </c>
      <c r="D39" s="47" t="s">
        <v>3</v>
      </c>
      <c r="E39" s="47" t="s">
        <v>3</v>
      </c>
      <c r="F39" s="47"/>
      <c r="G39" s="47"/>
      <c r="H39" s="47"/>
      <c r="I39" s="28" t="s">
        <v>23</v>
      </c>
      <c r="J39" s="58">
        <f>10^C36</f>
        <v>66.542635864437131</v>
      </c>
      <c r="K39" s="58">
        <f>J39*10^$C$38</f>
        <v>232.97000017090545</v>
      </c>
    </row>
    <row r="40" spans="1:24">
      <c r="A40" s="47"/>
      <c r="B40" s="46"/>
      <c r="C40" s="46"/>
      <c r="D40" s="47"/>
      <c r="E40" s="47"/>
      <c r="F40" s="47"/>
      <c r="G40" s="47"/>
      <c r="H40" s="47"/>
      <c r="I40" s="28" t="s">
        <v>18</v>
      </c>
      <c r="J40" s="58">
        <f>10^C37</f>
        <v>1175.168116247437</v>
      </c>
      <c r="K40" s="58">
        <f>J40*10^$C$38</f>
        <v>4114.3383138708168</v>
      </c>
    </row>
    <row r="41" spans="1:24">
      <c r="A41" s="52" t="s">
        <v>85</v>
      </c>
      <c r="B41" s="129"/>
      <c r="C41" s="129"/>
      <c r="D41" s="47"/>
      <c r="E41" s="47"/>
      <c r="F41" s="47"/>
      <c r="G41" s="47"/>
      <c r="H41" s="47"/>
      <c r="I41" s="28" t="s">
        <v>98</v>
      </c>
      <c r="J41" s="29">
        <v>20.8</v>
      </c>
      <c r="K41" s="29"/>
    </row>
    <row r="42" spans="1:24">
      <c r="A42" s="47" t="s">
        <v>51</v>
      </c>
      <c r="B42" s="47">
        <v>4.8</v>
      </c>
      <c r="C42" s="47" t="s">
        <v>40</v>
      </c>
      <c r="D42" s="47"/>
      <c r="E42" s="47"/>
      <c r="F42" s="47"/>
      <c r="G42" s="47"/>
      <c r="H42" s="47"/>
      <c r="I42" s="28" t="s">
        <v>99</v>
      </c>
      <c r="J42" s="46">
        <v>12.65</v>
      </c>
      <c r="K42" s="59"/>
      <c r="L42" s="46"/>
      <c r="Q42" s="32"/>
      <c r="R42" s="32"/>
      <c r="S42" s="32"/>
      <c r="T42" s="32"/>
      <c r="U42" s="32"/>
      <c r="V42" s="32"/>
      <c r="W42" s="32"/>
      <c r="X42" s="32"/>
    </row>
    <row r="43" spans="1:24">
      <c r="A43" s="47" t="s">
        <v>53</v>
      </c>
      <c r="B43" s="47">
        <v>1.77</v>
      </c>
      <c r="C43" s="47" t="s">
        <v>40</v>
      </c>
      <c r="D43" s="47"/>
      <c r="E43" s="47"/>
      <c r="F43" s="47"/>
      <c r="G43" s="47"/>
      <c r="H43" s="47"/>
      <c r="I43" s="28"/>
      <c r="J43" s="59"/>
      <c r="K43" s="34"/>
      <c r="Q43" s="32"/>
      <c r="R43" s="32"/>
      <c r="S43" s="32"/>
      <c r="T43" s="32"/>
      <c r="U43" s="32"/>
      <c r="V43" s="32"/>
      <c r="W43" s="32"/>
      <c r="X43" s="32"/>
    </row>
    <row r="44" spans="1:24">
      <c r="A44" s="47" t="s">
        <v>54</v>
      </c>
      <c r="B44" s="47">
        <v>1.1000000000000001</v>
      </c>
      <c r="C44" s="47" t="s">
        <v>40</v>
      </c>
      <c r="D44" s="47"/>
      <c r="E44" s="47"/>
      <c r="F44" s="47"/>
      <c r="G44" s="47"/>
      <c r="H44" s="47"/>
      <c r="I44" s="28"/>
      <c r="Q44" s="32"/>
      <c r="R44" s="32"/>
      <c r="S44" s="32"/>
      <c r="T44" s="32"/>
      <c r="U44" s="32"/>
      <c r="V44" s="32"/>
      <c r="W44" s="32"/>
      <c r="X44" s="32"/>
    </row>
    <row r="45" spans="1:24">
      <c r="A45" s="47"/>
      <c r="B45" s="47"/>
      <c r="C45" s="47"/>
      <c r="D45" s="47"/>
      <c r="E45" s="47"/>
      <c r="F45" s="47"/>
      <c r="G45" s="47"/>
      <c r="H45" s="47"/>
      <c r="Q45" s="32"/>
      <c r="R45" s="32"/>
      <c r="S45" s="32"/>
      <c r="T45" s="32"/>
      <c r="U45" s="32"/>
      <c r="V45" s="32"/>
      <c r="W45" s="32"/>
      <c r="X45" s="32"/>
    </row>
    <row r="46" spans="1:24">
      <c r="A46" s="52" t="s">
        <v>84</v>
      </c>
      <c r="B46" s="53"/>
      <c r="C46" s="53"/>
      <c r="D46" s="53"/>
      <c r="E46" s="53"/>
      <c r="F46" s="53"/>
      <c r="G46" s="53"/>
      <c r="H46" s="48"/>
      <c r="Q46" s="32"/>
      <c r="R46" s="32"/>
      <c r="S46" s="32"/>
      <c r="T46" s="32"/>
      <c r="U46" s="32"/>
      <c r="V46" s="32"/>
      <c r="W46" s="32"/>
      <c r="X46" s="32"/>
    </row>
    <row r="47" spans="1:24">
      <c r="A47" s="47"/>
      <c r="B47" s="47" t="s">
        <v>55</v>
      </c>
      <c r="C47" s="47" t="s">
        <v>56</v>
      </c>
      <c r="D47" s="47" t="s">
        <v>57</v>
      </c>
      <c r="E47" s="47" t="s">
        <v>58</v>
      </c>
      <c r="F47" s="47" t="s">
        <v>59</v>
      </c>
      <c r="G47" s="47" t="s">
        <v>60</v>
      </c>
      <c r="H47" s="47"/>
      <c r="Q47" s="32"/>
      <c r="R47" s="32"/>
      <c r="S47" s="32"/>
      <c r="T47" s="32"/>
      <c r="U47" s="32"/>
      <c r="V47" s="32"/>
      <c r="W47" s="32"/>
      <c r="X47" s="32"/>
    </row>
    <row r="48" spans="1:24">
      <c r="A48" s="47" t="s">
        <v>49</v>
      </c>
      <c r="B48" s="47">
        <v>0.3</v>
      </c>
      <c r="C48" s="47">
        <v>7.3800000000000004E-2</v>
      </c>
      <c r="D48" s="49">
        <v>0.83774400000000004</v>
      </c>
      <c r="E48" s="47">
        <v>0</v>
      </c>
      <c r="F48" s="47">
        <v>0</v>
      </c>
      <c r="G48" s="50">
        <v>0.3</v>
      </c>
      <c r="H48" s="47"/>
      <c r="Q48" s="32"/>
      <c r="R48" s="32"/>
      <c r="S48" s="32"/>
      <c r="T48" s="32"/>
      <c r="U48" s="32"/>
      <c r="V48" s="32"/>
      <c r="W48" s="32"/>
      <c r="X48" s="32"/>
    </row>
    <row r="49" spans="1:26">
      <c r="A49" s="47" t="s">
        <v>52</v>
      </c>
      <c r="B49" s="47">
        <v>0.3</v>
      </c>
      <c r="C49" s="47">
        <v>0</v>
      </c>
      <c r="D49" s="49">
        <v>0.83756200000000003</v>
      </c>
      <c r="E49" s="47">
        <v>0</v>
      </c>
      <c r="F49" s="47">
        <v>0</v>
      </c>
      <c r="G49" s="50">
        <v>0.1</v>
      </c>
      <c r="H49" s="47"/>
      <c r="Q49" s="39"/>
      <c r="R49" s="39"/>
      <c r="S49" s="39"/>
      <c r="T49" s="32"/>
      <c r="U49" s="32"/>
      <c r="V49" s="32"/>
      <c r="W49" s="32"/>
      <c r="X49" s="32"/>
    </row>
    <row r="50" spans="1:26">
      <c r="B50" s="1"/>
      <c r="C50" s="1"/>
      <c r="D50"/>
      <c r="E50"/>
      <c r="G50"/>
      <c r="H50" s="47"/>
      <c r="Q50" s="34"/>
      <c r="R50" s="34"/>
      <c r="S50" s="34"/>
      <c r="T50" s="34"/>
      <c r="U50" s="32"/>
      <c r="V50" s="32"/>
      <c r="W50" s="32"/>
      <c r="X50" s="36"/>
      <c r="Y50" s="36"/>
      <c r="Z50" s="37"/>
    </row>
    <row r="51" spans="1:26">
      <c r="A51" s="52" t="s">
        <v>100</v>
      </c>
      <c r="B51" s="53"/>
      <c r="C51" s="53"/>
      <c r="D51" s="53"/>
      <c r="E51" s="53"/>
      <c r="F51" s="53"/>
      <c r="G51" s="53"/>
      <c r="H51" s="32"/>
      <c r="Q51" s="34"/>
      <c r="R51" s="34"/>
      <c r="S51" s="34"/>
      <c r="T51" s="34"/>
      <c r="U51" s="32"/>
      <c r="V51" s="32"/>
      <c r="W51" s="32"/>
      <c r="X51" s="36"/>
      <c r="Y51" s="36"/>
      <c r="Z51" s="37"/>
    </row>
    <row r="52" spans="1:26">
      <c r="A52" s="47"/>
      <c r="B52" s="47" t="s">
        <v>55</v>
      </c>
      <c r="C52" s="47" t="s">
        <v>56</v>
      </c>
      <c r="D52" s="47" t="s">
        <v>57</v>
      </c>
      <c r="E52" s="47" t="s">
        <v>58</v>
      </c>
      <c r="F52" s="47" t="s">
        <v>59</v>
      </c>
      <c r="G52" s="47" t="s">
        <v>60</v>
      </c>
      <c r="H52" s="32"/>
      <c r="I52" s="34"/>
      <c r="J52" s="34"/>
      <c r="K52" s="34"/>
      <c r="Q52" s="34"/>
      <c r="R52" s="34"/>
      <c r="S52" s="34"/>
      <c r="T52" s="34"/>
      <c r="U52" s="32"/>
      <c r="V52" s="32"/>
      <c r="W52" s="32"/>
      <c r="X52" s="36"/>
      <c r="Y52" s="36"/>
      <c r="Z52" s="37"/>
    </row>
    <row r="53" spans="1:26">
      <c r="A53" s="47" t="s">
        <v>49</v>
      </c>
      <c r="B53" s="47">
        <v>0.3</v>
      </c>
      <c r="C53" s="47">
        <v>7.3800000000000004E-2</v>
      </c>
      <c r="D53" s="49">
        <v>1.65073</v>
      </c>
      <c r="E53" s="47">
        <v>0</v>
      </c>
      <c r="F53" s="47">
        <v>0</v>
      </c>
      <c r="G53" s="50">
        <v>0.2</v>
      </c>
      <c r="H53"/>
    </row>
    <row r="54" spans="1:26">
      <c r="A54" s="47" t="s">
        <v>52</v>
      </c>
      <c r="B54" s="47">
        <v>0.3</v>
      </c>
      <c r="C54" s="47">
        <v>0</v>
      </c>
      <c r="D54" s="49">
        <v>1.65073</v>
      </c>
      <c r="E54" s="47">
        <v>0</v>
      </c>
      <c r="F54" s="47">
        <v>0</v>
      </c>
      <c r="G54" s="50">
        <v>0.2</v>
      </c>
      <c r="H54"/>
    </row>
  </sheetData>
  <mergeCells count="13">
    <mergeCell ref="D17:R17"/>
    <mergeCell ref="E18:H18"/>
    <mergeCell ref="I18:L18"/>
    <mergeCell ref="N19:O19"/>
    <mergeCell ref="P19:Q19"/>
    <mergeCell ref="A9:B9"/>
    <mergeCell ref="A10:B10"/>
    <mergeCell ref="D2:E2"/>
    <mergeCell ref="D6:R6"/>
    <mergeCell ref="E7:H7"/>
    <mergeCell ref="I7:L7"/>
    <mergeCell ref="N8:O8"/>
    <mergeCell ref="P8:Q8"/>
  </mergeCells>
  <conditionalFormatting sqref="E9:L15 E20:L26">
    <cfRule type="colorScale" priority="2">
      <colorScale>
        <cfvo type="num" val="$J$33"/>
        <cfvo type="num" val="$J$33"/>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workbookViewId="0">
      <selection activeCell="B6" sqref="B6"/>
    </sheetView>
  </sheetViews>
  <sheetFormatPr baseColWidth="10" defaultRowHeight="15" x14ac:dyDescent="0"/>
  <cols>
    <col min="1" max="1" width="13.1640625" customWidth="1"/>
    <col min="2" max="2" width="13.83203125" customWidth="1"/>
    <col min="4" max="4" width="11.33203125" style="1" customWidth="1"/>
    <col min="5" max="5" width="13" style="1" customWidth="1"/>
    <col min="6" max="6" width="13.83203125" bestFit="1" customWidth="1"/>
    <col min="7" max="7" width="12.83203125" style="1" bestFit="1" customWidth="1"/>
    <col min="8" max="8" width="12.1640625" style="1" customWidth="1"/>
    <col min="9" max="9" width="11.83203125" bestFit="1" customWidth="1"/>
    <col min="10" max="12" width="11" bestFit="1" customWidth="1"/>
    <col min="14" max="15" width="11.6640625" customWidth="1"/>
    <col min="25" max="16384" width="10.83203125" style="32"/>
  </cols>
  <sheetData>
    <row r="1" spans="1:27" s="33" customFormat="1" ht="7" customHeight="1" thickBot="1">
      <c r="A1" s="3"/>
      <c r="B1" s="3"/>
      <c r="C1" s="3"/>
      <c r="D1" s="2"/>
      <c r="E1" s="2"/>
      <c r="F1" s="3"/>
      <c r="G1" s="3"/>
      <c r="H1" s="3"/>
      <c r="I1" s="2"/>
      <c r="J1" s="3"/>
      <c r="K1" s="3"/>
      <c r="L1" s="3"/>
      <c r="M1" s="3"/>
      <c r="N1" s="3"/>
      <c r="O1" s="3"/>
      <c r="P1" s="3"/>
      <c r="Q1" s="3"/>
      <c r="R1" s="3"/>
      <c r="S1" s="3"/>
      <c r="T1" s="3"/>
      <c r="U1" s="3"/>
      <c r="V1" s="3"/>
      <c r="W1" s="3"/>
      <c r="X1" s="3"/>
    </row>
    <row r="2" spans="1:27" ht="21" thickBot="1">
      <c r="D2" s="159" t="s">
        <v>72</v>
      </c>
      <c r="E2" s="160"/>
      <c r="F2" s="73"/>
      <c r="G2" s="73"/>
      <c r="H2" s="73"/>
      <c r="I2" s="73"/>
      <c r="J2" s="73"/>
      <c r="K2" s="73"/>
      <c r="L2" s="73"/>
      <c r="M2" s="73"/>
      <c r="N2" s="73"/>
      <c r="O2" s="73"/>
      <c r="P2" s="73"/>
      <c r="Q2" s="73"/>
      <c r="R2" s="74"/>
      <c r="S2" s="32"/>
      <c r="T2" s="32"/>
      <c r="U2" s="32"/>
      <c r="V2" s="32"/>
      <c r="W2" s="32"/>
      <c r="X2" s="32"/>
    </row>
    <row r="3" spans="1:27">
      <c r="A3" s="8" t="s">
        <v>74</v>
      </c>
      <c r="B3" s="122">
        <v>3072</v>
      </c>
      <c r="C3" s="43" t="s">
        <v>40</v>
      </c>
      <c r="D3" s="8" t="s">
        <v>27</v>
      </c>
      <c r="E3" s="13"/>
      <c r="F3" s="14"/>
      <c r="G3" s="10"/>
      <c r="H3" s="10" t="s">
        <v>13</v>
      </c>
      <c r="I3" s="10" t="s">
        <v>21</v>
      </c>
      <c r="J3" s="14"/>
      <c r="K3" s="14"/>
      <c r="L3" s="14"/>
      <c r="M3" s="14"/>
      <c r="N3" s="14"/>
      <c r="O3" s="14"/>
      <c r="P3" s="40"/>
      <c r="Q3" s="40"/>
      <c r="R3" s="26"/>
      <c r="S3" s="32"/>
      <c r="T3" s="32"/>
      <c r="U3" s="32"/>
      <c r="V3" s="32"/>
      <c r="W3" s="32"/>
      <c r="X3" s="32"/>
    </row>
    <row r="4" spans="1:27">
      <c r="A4" s="8" t="s">
        <v>76</v>
      </c>
      <c r="B4" s="122">
        <v>1</v>
      </c>
      <c r="C4" s="3"/>
      <c r="D4" s="12" t="s">
        <v>94</v>
      </c>
      <c r="E4" s="123">
        <v>6</v>
      </c>
      <c r="F4" s="14"/>
      <c r="G4" s="14" t="s">
        <v>37</v>
      </c>
      <c r="H4" s="13"/>
      <c r="I4" s="14"/>
      <c r="J4" s="14"/>
      <c r="K4" s="14"/>
      <c r="L4" s="14"/>
      <c r="M4" s="14"/>
      <c r="N4" s="14"/>
      <c r="O4" s="14"/>
      <c r="P4" s="40"/>
      <c r="Q4" s="40"/>
      <c r="R4" s="26"/>
      <c r="S4" s="32"/>
      <c r="T4" s="32"/>
      <c r="U4" s="32"/>
      <c r="V4" s="32"/>
      <c r="W4" s="32"/>
      <c r="X4" s="32"/>
    </row>
    <row r="5" spans="1:27" ht="16" thickBot="1">
      <c r="A5" s="20" t="s">
        <v>77</v>
      </c>
      <c r="B5" s="122">
        <v>4</v>
      </c>
      <c r="D5" s="12"/>
      <c r="E5" s="13"/>
      <c r="F5" s="14"/>
      <c r="G5" s="14" t="s">
        <v>15</v>
      </c>
      <c r="H5" s="22">
        <f>10^(0.4*(J30-$E$4))</f>
        <v>251188.64315095844</v>
      </c>
      <c r="I5" s="22">
        <f>10^(0.4*(J31-$E$4))</f>
        <v>125.89254117941677</v>
      </c>
      <c r="J5" s="14"/>
      <c r="K5" s="14"/>
      <c r="L5" s="14"/>
      <c r="M5" s="14"/>
      <c r="N5" s="14"/>
      <c r="O5" s="14"/>
      <c r="P5" s="40"/>
      <c r="Q5" s="40"/>
      <c r="R5" s="26"/>
      <c r="S5" s="32"/>
      <c r="T5" s="32"/>
      <c r="U5" s="32"/>
      <c r="V5" s="32"/>
      <c r="W5" s="32"/>
      <c r="X5" s="32"/>
    </row>
    <row r="6" spans="1:27" ht="16" thickBot="1">
      <c r="C6" s="55"/>
      <c r="D6" s="162" t="s">
        <v>91</v>
      </c>
      <c r="E6" s="163"/>
      <c r="F6" s="163"/>
      <c r="G6" s="163"/>
      <c r="H6" s="163"/>
      <c r="I6" s="163"/>
      <c r="J6" s="163"/>
      <c r="K6" s="163"/>
      <c r="L6" s="163"/>
      <c r="M6" s="163"/>
      <c r="N6" s="163"/>
      <c r="O6" s="163"/>
      <c r="P6" s="163"/>
      <c r="Q6" s="163"/>
      <c r="R6" s="164"/>
      <c r="S6" s="32"/>
      <c r="T6" s="32"/>
      <c r="U6" s="32"/>
      <c r="V6" s="32"/>
      <c r="W6" s="32"/>
      <c r="X6" s="32"/>
    </row>
    <row r="7" spans="1:27">
      <c r="D7" s="87"/>
      <c r="E7" s="165" t="s">
        <v>35</v>
      </c>
      <c r="F7" s="165"/>
      <c r="G7" s="165"/>
      <c r="H7" s="166"/>
      <c r="I7" s="167" t="s">
        <v>36</v>
      </c>
      <c r="J7" s="165"/>
      <c r="K7" s="165"/>
      <c r="L7" s="166"/>
      <c r="M7" s="62"/>
      <c r="N7" s="62"/>
      <c r="O7" s="66"/>
      <c r="P7" s="67"/>
      <c r="Q7" s="66"/>
      <c r="R7" s="63"/>
      <c r="S7" s="32"/>
      <c r="T7" s="32"/>
      <c r="U7" s="32"/>
      <c r="V7" s="32"/>
      <c r="W7" s="32"/>
      <c r="X7" s="32"/>
    </row>
    <row r="8" spans="1:27" ht="16" thickBot="1">
      <c r="A8" s="3"/>
      <c r="B8" s="3"/>
      <c r="C8" s="3"/>
      <c r="D8" s="88" t="s">
        <v>20</v>
      </c>
      <c r="E8" s="77" t="s">
        <v>11</v>
      </c>
      <c r="F8" s="77" t="s">
        <v>16</v>
      </c>
      <c r="G8" s="77" t="s">
        <v>17</v>
      </c>
      <c r="H8" s="77" t="s">
        <v>18</v>
      </c>
      <c r="I8" s="130" t="s">
        <v>11</v>
      </c>
      <c r="J8" s="77" t="s">
        <v>16</v>
      </c>
      <c r="K8" s="77" t="s">
        <v>17</v>
      </c>
      <c r="L8" s="77" t="s">
        <v>18</v>
      </c>
      <c r="M8" s="130" t="s">
        <v>14</v>
      </c>
      <c r="N8" s="168" t="s">
        <v>82</v>
      </c>
      <c r="O8" s="169"/>
      <c r="P8" s="170" t="s">
        <v>83</v>
      </c>
      <c r="Q8" s="171"/>
      <c r="R8" s="78" t="s">
        <v>63</v>
      </c>
      <c r="S8" s="33"/>
      <c r="T8" s="79" t="s">
        <v>49</v>
      </c>
      <c r="U8" s="80" t="s">
        <v>52</v>
      </c>
      <c r="V8" s="80" t="s">
        <v>81</v>
      </c>
      <c r="W8" s="81" t="s">
        <v>61</v>
      </c>
      <c r="X8" s="81" t="s">
        <v>62</v>
      </c>
    </row>
    <row r="9" spans="1:27">
      <c r="A9" s="157" t="s">
        <v>90</v>
      </c>
      <c r="B9" s="157"/>
      <c r="C9" s="82"/>
      <c r="D9" s="89">
        <v>0.84</v>
      </c>
      <c r="E9" s="110">
        <f>$H$5*D9</f>
        <v>210998.46024680507</v>
      </c>
      <c r="F9" s="110">
        <f t="shared" ref="F9:F15" si="0">$H$5*D9/$J$27</f>
        <v>30582.943758309713</v>
      </c>
      <c r="G9" s="110">
        <f t="shared" ref="G9:G15" si="1">$H$5*D9/$J$28</f>
        <v>4732.3764671478875</v>
      </c>
      <c r="H9" s="110">
        <f t="shared" ref="H9:H15" si="2">$H$5*D9/$J$29</f>
        <v>302.11986785076425</v>
      </c>
      <c r="I9" s="21">
        <f>$I$5*D9</f>
        <v>105.74973459071008</v>
      </c>
      <c r="J9" s="110">
        <f t="shared" ref="J9:J15" si="3">$I$5*D9/$J$27</f>
        <v>15.327780978405679</v>
      </c>
      <c r="K9" s="110">
        <f t="shared" ref="K9:K15" si="4">$I$5*D9/$J$28</f>
        <v>2.3718066700526506</v>
      </c>
      <c r="L9" s="110">
        <f t="shared" ref="L9:L15" si="5">$I$5*D9/$J$29</f>
        <v>0.15141862079196142</v>
      </c>
      <c r="M9" s="21">
        <f t="shared" ref="M9:M15" si="6">ROUND($B$3/($B$4*D9*$B$5*$B$5),0)</f>
        <v>229</v>
      </c>
      <c r="N9" s="154">
        <f t="shared" ref="N9:N15" si="7">D9*M9*$B$4*$B$5^2</f>
        <v>3077.7599999999998</v>
      </c>
      <c r="O9" s="93">
        <f t="shared" ref="O9:O15" si="8">N9/(24*3600)</f>
        <v>3.5622222222222222E-2</v>
      </c>
      <c r="P9" s="96">
        <f t="shared" ref="P9:P15" si="9">X9</f>
        <v>6563.7071680000008</v>
      </c>
      <c r="Q9" s="93">
        <f t="shared" ref="Q9:Q15" si="10">P9/(24*3600)</f>
        <v>7.5968832962962973E-2</v>
      </c>
      <c r="R9" s="97">
        <f t="shared" ref="R9:R15" si="11">N9/P9</f>
        <v>0.46890574506507288</v>
      </c>
      <c r="T9" s="34">
        <f t="shared" ref="T9:T15" si="12">$B$37+M9*($C$37+$G$37+D9+$D$37)</f>
        <v>470.10357599999998</v>
      </c>
      <c r="U9" s="34">
        <f t="shared" ref="U9:U15" si="13">$B$38+M9*($G$38+D9+$D$38)</f>
        <v>407.36169800000005</v>
      </c>
      <c r="V9" s="34">
        <f>IF(D9&lt;0,T9,U9)</f>
        <v>407.36169800000005</v>
      </c>
      <c r="W9" s="34">
        <f t="shared" ref="W9:W15" si="14">(V9+$B$33)*$B$4</f>
        <v>408.46169800000007</v>
      </c>
      <c r="X9" s="34">
        <f t="shared" ref="X9:X15" si="15">(W9+$B$32)*$B$5^2</f>
        <v>6563.7071680000008</v>
      </c>
      <c r="Y9" s="36"/>
      <c r="Z9" s="36"/>
      <c r="AA9" s="37"/>
    </row>
    <row r="10" spans="1:27">
      <c r="A10" s="158" t="s">
        <v>89</v>
      </c>
      <c r="B10" s="158"/>
      <c r="D10" s="89">
        <v>2</v>
      </c>
      <c r="E10" s="110">
        <f t="shared" ref="E10:E15" si="16">$H$5*D10</f>
        <v>502377.28630191687</v>
      </c>
      <c r="F10" s="110">
        <f t="shared" si="0"/>
        <v>72816.532757880268</v>
      </c>
      <c r="G10" s="110">
        <f t="shared" si="1"/>
        <v>11267.563017018781</v>
      </c>
      <c r="H10" s="110">
        <f t="shared" si="2"/>
        <v>719.33301869229592</v>
      </c>
      <c r="I10" s="21">
        <f t="shared" ref="I10:I15" si="17">$I$5*D10</f>
        <v>251.78508235883353</v>
      </c>
      <c r="J10" s="110">
        <f t="shared" si="3"/>
        <v>36.494716615251619</v>
      </c>
      <c r="K10" s="110">
        <f t="shared" si="4"/>
        <v>5.6471587382205977</v>
      </c>
      <c r="L10" s="110">
        <f t="shared" si="5"/>
        <v>0.36052052569514625</v>
      </c>
      <c r="M10" s="21">
        <f t="shared" si="6"/>
        <v>96</v>
      </c>
      <c r="N10" s="92">
        <f t="shared" si="7"/>
        <v>3072</v>
      </c>
      <c r="O10" s="93">
        <f t="shared" si="8"/>
        <v>3.5555555555555556E-2</v>
      </c>
      <c r="P10" s="96">
        <f t="shared" si="9"/>
        <v>4562.8152320000008</v>
      </c>
      <c r="Q10" s="93">
        <f t="shared" si="10"/>
        <v>5.2810361481481494E-2</v>
      </c>
      <c r="R10" s="97">
        <f t="shared" si="11"/>
        <v>0.67326855105931216</v>
      </c>
      <c r="T10" s="34">
        <f t="shared" si="12"/>
        <v>308.60822400000001</v>
      </c>
      <c r="U10" s="34">
        <f t="shared" si="13"/>
        <v>282.30595200000005</v>
      </c>
      <c r="V10" s="34">
        <f t="shared" ref="V10:V15" si="18">IF(D10&lt;0,T10,U10)</f>
        <v>282.30595200000005</v>
      </c>
      <c r="W10" s="34">
        <f t="shared" si="14"/>
        <v>283.40595200000007</v>
      </c>
      <c r="X10" s="34">
        <f t="shared" si="15"/>
        <v>4562.8152320000008</v>
      </c>
      <c r="Y10" s="36"/>
      <c r="Z10" s="36"/>
      <c r="AA10" s="37"/>
    </row>
    <row r="11" spans="1:27">
      <c r="D11" s="89">
        <v>4</v>
      </c>
      <c r="E11" s="110">
        <f t="shared" si="16"/>
        <v>1004754.5726038337</v>
      </c>
      <c r="F11" s="110">
        <f t="shared" si="0"/>
        <v>145633.06551576054</v>
      </c>
      <c r="G11" s="110">
        <f t="shared" si="1"/>
        <v>22535.126034037563</v>
      </c>
      <c r="H11" s="110">
        <f t="shared" si="2"/>
        <v>1438.6660373845918</v>
      </c>
      <c r="I11" s="21">
        <f t="shared" si="17"/>
        <v>503.57016471766707</v>
      </c>
      <c r="J11" s="110">
        <f t="shared" si="3"/>
        <v>72.989433230503238</v>
      </c>
      <c r="K11" s="110">
        <f t="shared" si="4"/>
        <v>11.294317476441195</v>
      </c>
      <c r="L11" s="110">
        <f t="shared" si="5"/>
        <v>0.72104105139029251</v>
      </c>
      <c r="M11" s="21">
        <f t="shared" si="6"/>
        <v>48</v>
      </c>
      <c r="N11" s="92">
        <f t="shared" si="7"/>
        <v>3072</v>
      </c>
      <c r="O11" s="93">
        <f t="shared" si="8"/>
        <v>3.5555555555555556E-2</v>
      </c>
      <c r="P11" s="96">
        <f t="shared" si="9"/>
        <v>3842.7676160000001</v>
      </c>
      <c r="Q11" s="93">
        <f t="shared" si="10"/>
        <v>4.447647703703704E-2</v>
      </c>
      <c r="R11" s="97">
        <f t="shared" si="11"/>
        <v>0.79942382859926753</v>
      </c>
      <c r="T11" s="34">
        <f t="shared" si="12"/>
        <v>250.45411200000001</v>
      </c>
      <c r="U11" s="34">
        <f t="shared" si="13"/>
        <v>237.302976</v>
      </c>
      <c r="V11" s="34">
        <f t="shared" si="18"/>
        <v>237.302976</v>
      </c>
      <c r="W11" s="34">
        <f t="shared" si="14"/>
        <v>238.402976</v>
      </c>
      <c r="X11" s="34">
        <f t="shared" si="15"/>
        <v>3842.7676160000001</v>
      </c>
      <c r="Y11" s="36"/>
      <c r="Z11" s="36"/>
      <c r="AA11" s="37"/>
    </row>
    <row r="12" spans="1:27">
      <c r="D12" s="89">
        <v>8</v>
      </c>
      <c r="E12" s="110">
        <f t="shared" si="16"/>
        <v>2009509.1452076675</v>
      </c>
      <c r="F12" s="110">
        <f t="shared" si="0"/>
        <v>291266.13103152107</v>
      </c>
      <c r="G12" s="110">
        <f t="shared" si="1"/>
        <v>45070.252068075126</v>
      </c>
      <c r="H12" s="110">
        <f t="shared" si="2"/>
        <v>2877.3320747691837</v>
      </c>
      <c r="I12" s="21">
        <f t="shared" si="17"/>
        <v>1007.1403294353341</v>
      </c>
      <c r="J12" s="110">
        <f t="shared" si="3"/>
        <v>145.97886646100648</v>
      </c>
      <c r="K12" s="110">
        <f t="shared" si="4"/>
        <v>22.588634952882391</v>
      </c>
      <c r="L12" s="110">
        <f t="shared" si="5"/>
        <v>1.442082102780585</v>
      </c>
      <c r="M12" s="21">
        <f t="shared" si="6"/>
        <v>24</v>
      </c>
      <c r="N12" s="92">
        <f t="shared" si="7"/>
        <v>3072</v>
      </c>
      <c r="O12" s="93">
        <f t="shared" si="8"/>
        <v>3.5555555555555556E-2</v>
      </c>
      <c r="P12" s="96">
        <f t="shared" si="9"/>
        <v>3482.7438080000002</v>
      </c>
      <c r="Q12" s="93">
        <f t="shared" si="10"/>
        <v>4.0309534814814814E-2</v>
      </c>
      <c r="R12" s="97">
        <f t="shared" si="11"/>
        <v>0.88206315748620223</v>
      </c>
      <c r="T12" s="34">
        <f t="shared" si="12"/>
        <v>221.37705600000001</v>
      </c>
      <c r="U12" s="34">
        <f t="shared" si="13"/>
        <v>214.80148800000001</v>
      </c>
      <c r="V12" s="34">
        <f t="shared" si="18"/>
        <v>214.80148800000001</v>
      </c>
      <c r="W12" s="34">
        <f t="shared" si="14"/>
        <v>215.901488</v>
      </c>
      <c r="X12" s="34">
        <f t="shared" si="15"/>
        <v>3482.7438080000002</v>
      </c>
      <c r="Y12" s="36"/>
      <c r="Z12" s="36"/>
      <c r="AA12" s="37"/>
    </row>
    <row r="13" spans="1:27">
      <c r="D13" s="89">
        <v>16</v>
      </c>
      <c r="E13" s="110">
        <f t="shared" si="16"/>
        <v>4019018.290415335</v>
      </c>
      <c r="F13" s="110">
        <f t="shared" si="0"/>
        <v>582532.26206304214</v>
      </c>
      <c r="G13" s="110">
        <f t="shared" si="1"/>
        <v>90140.504136150252</v>
      </c>
      <c r="H13" s="110">
        <f t="shared" si="2"/>
        <v>5754.6641495383674</v>
      </c>
      <c r="I13" s="21">
        <f t="shared" si="17"/>
        <v>2014.2806588706683</v>
      </c>
      <c r="J13" s="110">
        <f t="shared" si="3"/>
        <v>291.95773292201295</v>
      </c>
      <c r="K13" s="110">
        <f t="shared" si="4"/>
        <v>45.177269905764781</v>
      </c>
      <c r="L13" s="110">
        <f t="shared" si="5"/>
        <v>2.88416420556117</v>
      </c>
      <c r="M13" s="21">
        <f t="shared" si="6"/>
        <v>12</v>
      </c>
      <c r="N13" s="92">
        <f t="shared" si="7"/>
        <v>3072</v>
      </c>
      <c r="O13" s="93">
        <f t="shared" si="8"/>
        <v>3.5555555555555556E-2</v>
      </c>
      <c r="P13" s="96">
        <f t="shared" si="9"/>
        <v>3302.7319040000002</v>
      </c>
      <c r="Q13" s="93">
        <f t="shared" si="10"/>
        <v>3.8226063703703704E-2</v>
      </c>
      <c r="R13" s="97">
        <f t="shared" si="11"/>
        <v>0.93013907555725106</v>
      </c>
      <c r="T13" s="34">
        <f t="shared" si="12"/>
        <v>206.838528</v>
      </c>
      <c r="U13" s="34">
        <f t="shared" si="13"/>
        <v>203.55074400000001</v>
      </c>
      <c r="V13" s="34">
        <f t="shared" si="18"/>
        <v>203.55074400000001</v>
      </c>
      <c r="W13" s="34">
        <f t="shared" si="14"/>
        <v>204.650744</v>
      </c>
      <c r="X13" s="34">
        <f t="shared" si="15"/>
        <v>3302.7319040000002</v>
      </c>
      <c r="Y13" s="36"/>
      <c r="Z13" s="36"/>
      <c r="AA13" s="37"/>
    </row>
    <row r="14" spans="1:27">
      <c r="D14" s="89">
        <v>32</v>
      </c>
      <c r="E14" s="110">
        <f t="shared" si="16"/>
        <v>8038036.58083067</v>
      </c>
      <c r="F14" s="110">
        <f t="shared" si="0"/>
        <v>1165064.5241260843</v>
      </c>
      <c r="G14" s="110">
        <f t="shared" si="1"/>
        <v>180281.0082723005</v>
      </c>
      <c r="H14" s="110">
        <f t="shared" si="2"/>
        <v>11509.328299076735</v>
      </c>
      <c r="I14" s="21">
        <f t="shared" si="17"/>
        <v>4028.5613177413366</v>
      </c>
      <c r="J14" s="110">
        <f t="shared" si="3"/>
        <v>583.9154658440259</v>
      </c>
      <c r="K14" s="110">
        <f t="shared" si="4"/>
        <v>90.354539811529563</v>
      </c>
      <c r="L14" s="110">
        <f t="shared" si="5"/>
        <v>5.7683284111223401</v>
      </c>
      <c r="M14" s="21">
        <f t="shared" si="6"/>
        <v>6</v>
      </c>
      <c r="N14" s="92">
        <f t="shared" si="7"/>
        <v>3072</v>
      </c>
      <c r="O14" s="93">
        <f t="shared" si="8"/>
        <v>3.5555555555555556E-2</v>
      </c>
      <c r="P14" s="96">
        <f t="shared" si="9"/>
        <v>3212.7259520000002</v>
      </c>
      <c r="Q14" s="93">
        <f t="shared" si="10"/>
        <v>3.7184328148148149E-2</v>
      </c>
      <c r="R14" s="97">
        <f t="shared" si="11"/>
        <v>0.95619733705814691</v>
      </c>
      <c r="T14" s="34">
        <f t="shared" si="12"/>
        <v>199.56926400000003</v>
      </c>
      <c r="U14" s="34">
        <f t="shared" si="13"/>
        <v>197.92537200000001</v>
      </c>
      <c r="V14" s="34">
        <f t="shared" si="18"/>
        <v>197.92537200000001</v>
      </c>
      <c r="W14" s="34">
        <f t="shared" si="14"/>
        <v>199.025372</v>
      </c>
      <c r="X14" s="34">
        <f t="shared" si="15"/>
        <v>3212.7259520000002</v>
      </c>
      <c r="Y14" s="36"/>
      <c r="Z14" s="36"/>
      <c r="AA14" s="37"/>
    </row>
    <row r="15" spans="1:27" ht="16" thickBot="1">
      <c r="D15" s="90">
        <v>64</v>
      </c>
      <c r="E15" s="114">
        <f t="shared" si="16"/>
        <v>16076073.16166134</v>
      </c>
      <c r="F15" s="114">
        <f t="shared" si="0"/>
        <v>2330129.0482521686</v>
      </c>
      <c r="G15" s="114">
        <f t="shared" si="1"/>
        <v>360562.01654460101</v>
      </c>
      <c r="H15" s="114">
        <f t="shared" si="2"/>
        <v>23018.65659815347</v>
      </c>
      <c r="I15" s="27">
        <f t="shared" si="17"/>
        <v>8057.1226354826731</v>
      </c>
      <c r="J15" s="114">
        <f t="shared" si="3"/>
        <v>1167.8309316880518</v>
      </c>
      <c r="K15" s="114">
        <f t="shared" si="4"/>
        <v>180.70907962305913</v>
      </c>
      <c r="L15" s="114">
        <f t="shared" si="5"/>
        <v>11.53665682224468</v>
      </c>
      <c r="M15" s="115">
        <f t="shared" si="6"/>
        <v>3</v>
      </c>
      <c r="N15" s="94">
        <f t="shared" si="7"/>
        <v>3072</v>
      </c>
      <c r="O15" s="95">
        <f t="shared" si="8"/>
        <v>3.5555555555555556E-2</v>
      </c>
      <c r="P15" s="98">
        <f t="shared" si="9"/>
        <v>3167.722976</v>
      </c>
      <c r="Q15" s="95">
        <f t="shared" si="10"/>
        <v>3.6663460370370368E-2</v>
      </c>
      <c r="R15" s="99">
        <f t="shared" si="11"/>
        <v>0.9697817717252305</v>
      </c>
      <c r="T15" s="34">
        <f t="shared" si="12"/>
        <v>195.93463200000002</v>
      </c>
      <c r="U15" s="34">
        <f t="shared" si="13"/>
        <v>195.112686</v>
      </c>
      <c r="V15" s="34">
        <f t="shared" si="18"/>
        <v>195.112686</v>
      </c>
      <c r="W15" s="34">
        <f t="shared" si="14"/>
        <v>196.21268599999999</v>
      </c>
      <c r="X15" s="34">
        <f t="shared" si="15"/>
        <v>3167.722976</v>
      </c>
      <c r="Y15" s="36"/>
      <c r="Z15" s="36"/>
      <c r="AA15" s="37"/>
    </row>
    <row r="16" spans="1:27">
      <c r="D16" s="13"/>
      <c r="E16" s="14"/>
      <c r="F16" s="13"/>
      <c r="G16" s="13"/>
      <c r="H16" s="14"/>
      <c r="I16" s="14"/>
      <c r="J16" s="14"/>
      <c r="K16" s="14"/>
      <c r="L16" s="14"/>
      <c r="M16" s="14"/>
      <c r="N16" s="14"/>
    </row>
    <row r="17" spans="1:24">
      <c r="E17"/>
      <c r="F17" s="1"/>
      <c r="H17"/>
    </row>
    <row r="18" spans="1:24">
      <c r="E18"/>
      <c r="F18" s="1"/>
      <c r="H18"/>
    </row>
    <row r="19" spans="1:24" s="91" customFormat="1" ht="20">
      <c r="A19" s="56" t="s">
        <v>86</v>
      </c>
      <c r="B19" s="56"/>
      <c r="C19" s="56"/>
      <c r="D19" s="56"/>
      <c r="E19" s="56"/>
      <c r="F19" s="56"/>
      <c r="G19" s="56"/>
      <c r="H19" s="56"/>
      <c r="I19" s="56"/>
      <c r="J19" s="56"/>
      <c r="K19" s="56"/>
      <c r="L19" s="56"/>
      <c r="M19" s="56"/>
      <c r="N19" s="56"/>
      <c r="O19" s="56"/>
      <c r="P19" s="56"/>
      <c r="Q19" s="56"/>
      <c r="R19" s="56"/>
      <c r="S19" s="56"/>
      <c r="T19" s="56"/>
      <c r="U19" s="56"/>
      <c r="V19" s="56"/>
      <c r="W19" s="56"/>
      <c r="X19" s="56"/>
    </row>
    <row r="20" spans="1:24">
      <c r="D20"/>
      <c r="E20"/>
      <c r="G20"/>
      <c r="H20"/>
    </row>
    <row r="22" spans="1:24">
      <c r="A22" s="51" t="s">
        <v>4</v>
      </c>
      <c r="B22" s="44"/>
      <c r="C22" s="45"/>
      <c r="E22" s="47"/>
      <c r="F22" s="47"/>
      <c r="G22" s="47"/>
      <c r="H22" s="47"/>
      <c r="I22" s="18" t="s">
        <v>19</v>
      </c>
      <c r="J22" s="35">
        <v>20000</v>
      </c>
      <c r="K22" s="14" t="s">
        <v>39</v>
      </c>
    </row>
    <row r="23" spans="1:24">
      <c r="A23" s="47" t="s">
        <v>5</v>
      </c>
      <c r="B23" s="46" t="s">
        <v>8</v>
      </c>
      <c r="C23" s="47">
        <v>0</v>
      </c>
      <c r="E23" s="47"/>
      <c r="F23" s="47"/>
      <c r="G23" s="47"/>
      <c r="H23" s="47"/>
      <c r="I23" s="9"/>
      <c r="J23" s="29"/>
      <c r="K23" s="14"/>
    </row>
    <row r="24" spans="1:24">
      <c r="A24" s="47" t="s">
        <v>16</v>
      </c>
      <c r="B24" s="46" t="s">
        <v>8</v>
      </c>
      <c r="C24" s="47">
        <v>0.83879999999999999</v>
      </c>
      <c r="E24" s="47"/>
      <c r="F24" s="47"/>
      <c r="G24" s="47"/>
      <c r="H24" s="47"/>
      <c r="I24" s="31" t="s">
        <v>72</v>
      </c>
      <c r="J24" s="42"/>
      <c r="K24" s="40"/>
    </row>
    <row r="25" spans="1:24">
      <c r="A25" s="47" t="s">
        <v>17</v>
      </c>
      <c r="B25" s="46" t="s">
        <v>8</v>
      </c>
      <c r="C25" s="47">
        <v>1.6492</v>
      </c>
      <c r="E25" s="47"/>
      <c r="F25" s="47"/>
      <c r="G25" s="47"/>
      <c r="H25" s="47"/>
      <c r="I25" s="54"/>
      <c r="J25" s="54" t="s">
        <v>8</v>
      </c>
      <c r="K25" s="54"/>
    </row>
    <row r="26" spans="1:24">
      <c r="A26" s="47" t="s">
        <v>18</v>
      </c>
      <c r="B26" s="46" t="s">
        <v>8</v>
      </c>
      <c r="C26" s="47">
        <v>2.8441000000000001</v>
      </c>
      <c r="E26" s="47"/>
      <c r="F26" s="47"/>
      <c r="G26" s="47"/>
      <c r="H26" s="47"/>
      <c r="I26" s="28" t="s">
        <v>2</v>
      </c>
      <c r="J26" s="58">
        <f>10^C23</f>
        <v>1</v>
      </c>
      <c r="K26" s="58"/>
    </row>
    <row r="27" spans="1:24">
      <c r="A27" s="47"/>
      <c r="B27" s="46"/>
      <c r="C27" s="47"/>
      <c r="E27" s="47"/>
      <c r="F27" s="47"/>
      <c r="G27" s="47"/>
      <c r="H27" s="47"/>
      <c r="I27" s="28" t="s">
        <v>22</v>
      </c>
      <c r="J27" s="58">
        <f>10^C24</f>
        <v>6.8992200984404759</v>
      </c>
      <c r="K27" s="58"/>
    </row>
    <row r="28" spans="1:24">
      <c r="A28" s="47" t="s">
        <v>3</v>
      </c>
      <c r="B28" s="46" t="s">
        <v>3</v>
      </c>
      <c r="C28" s="46" t="s">
        <v>3</v>
      </c>
      <c r="D28" s="47" t="s">
        <v>3</v>
      </c>
      <c r="E28" s="47" t="s">
        <v>3</v>
      </c>
      <c r="F28" s="47"/>
      <c r="G28" s="47"/>
      <c r="H28" s="47"/>
      <c r="I28" s="28" t="s">
        <v>23</v>
      </c>
      <c r="J28" s="58">
        <f>10^C25</f>
        <v>44.586152794807084</v>
      </c>
      <c r="K28" s="58"/>
    </row>
    <row r="29" spans="1:24">
      <c r="A29" s="47"/>
      <c r="B29" s="46"/>
      <c r="C29" s="46"/>
      <c r="D29" s="47"/>
      <c r="E29" s="47"/>
      <c r="F29" s="47"/>
      <c r="G29" s="47"/>
      <c r="H29" s="47"/>
      <c r="I29" s="28" t="s">
        <v>18</v>
      </c>
      <c r="J29" s="58">
        <f>10^C26</f>
        <v>698.39319654088524</v>
      </c>
      <c r="K29" s="58"/>
    </row>
    <row r="30" spans="1:24">
      <c r="A30" s="52" t="s">
        <v>85</v>
      </c>
      <c r="B30" s="129"/>
      <c r="C30" s="129"/>
      <c r="D30" s="47"/>
      <c r="E30" s="47"/>
      <c r="F30" s="47"/>
      <c r="G30" s="47"/>
      <c r="H30" s="47"/>
      <c r="I30" s="28" t="s">
        <v>98</v>
      </c>
      <c r="J30" s="29">
        <v>19.5</v>
      </c>
      <c r="K30" s="29"/>
      <c r="L30" s="4"/>
    </row>
    <row r="31" spans="1:24">
      <c r="A31" s="47" t="s">
        <v>51</v>
      </c>
      <c r="B31" s="47">
        <v>4.8</v>
      </c>
      <c r="C31" s="47" t="s">
        <v>40</v>
      </c>
      <c r="D31" s="47"/>
      <c r="E31" s="47"/>
      <c r="F31" s="47"/>
      <c r="G31" s="47"/>
      <c r="H31" s="47"/>
      <c r="I31" s="28" t="s">
        <v>99</v>
      </c>
      <c r="J31" s="46">
        <v>11.25</v>
      </c>
      <c r="K31" s="59"/>
      <c r="L31" s="4"/>
      <c r="Q31" s="32"/>
      <c r="R31" s="32"/>
      <c r="S31" s="32"/>
      <c r="T31" s="32"/>
      <c r="U31" s="32"/>
      <c r="V31" s="32"/>
      <c r="W31" s="32"/>
      <c r="X31" s="32"/>
    </row>
    <row r="32" spans="1:24">
      <c r="A32" s="47" t="s">
        <v>53</v>
      </c>
      <c r="B32" s="47">
        <v>1.77</v>
      </c>
      <c r="C32" s="47" t="s">
        <v>40</v>
      </c>
      <c r="D32" s="47"/>
      <c r="E32" s="47"/>
      <c r="F32" s="47"/>
      <c r="G32" s="47"/>
      <c r="H32" s="47"/>
      <c r="I32" s="28"/>
      <c r="J32" s="59"/>
      <c r="K32" s="34"/>
      <c r="Q32" s="32"/>
      <c r="R32" s="32"/>
      <c r="S32" s="32"/>
      <c r="T32" s="32"/>
      <c r="U32" s="32"/>
      <c r="V32" s="32"/>
      <c r="W32" s="32"/>
      <c r="X32" s="32"/>
    </row>
    <row r="33" spans="1:26">
      <c r="A33" s="47" t="s">
        <v>54</v>
      </c>
      <c r="B33" s="47">
        <v>1.1000000000000001</v>
      </c>
      <c r="C33" s="47" t="s">
        <v>40</v>
      </c>
      <c r="D33" s="47"/>
      <c r="E33" s="47"/>
      <c r="F33" s="47"/>
      <c r="G33" s="47"/>
      <c r="H33" s="47"/>
      <c r="I33" s="28"/>
      <c r="Q33" s="32"/>
      <c r="R33" s="32"/>
      <c r="S33" s="32"/>
      <c r="T33" s="32"/>
      <c r="U33" s="32"/>
      <c r="V33" s="32"/>
      <c r="W33" s="32"/>
      <c r="X33" s="32"/>
    </row>
    <row r="34" spans="1:26">
      <c r="A34" s="47"/>
      <c r="B34" s="47"/>
      <c r="C34" s="47"/>
      <c r="D34" s="47"/>
      <c r="E34" s="47"/>
      <c r="F34" s="47"/>
      <c r="G34" s="47"/>
      <c r="H34" s="47"/>
      <c r="Q34" s="32"/>
      <c r="R34" s="32"/>
      <c r="S34" s="32"/>
      <c r="T34" s="32"/>
      <c r="U34" s="32"/>
      <c r="V34" s="32"/>
      <c r="W34" s="32"/>
      <c r="X34" s="32"/>
    </row>
    <row r="35" spans="1:26">
      <c r="A35" s="52" t="s">
        <v>84</v>
      </c>
      <c r="B35" s="53"/>
      <c r="C35" s="53"/>
      <c r="D35" s="53"/>
      <c r="E35" s="53"/>
      <c r="F35" s="53"/>
      <c r="G35" s="53"/>
      <c r="H35" s="48"/>
      <c r="Q35" s="32"/>
      <c r="R35" s="32"/>
      <c r="S35" s="32"/>
      <c r="T35" s="32"/>
      <c r="U35" s="32"/>
      <c r="V35" s="32"/>
      <c r="W35" s="32"/>
      <c r="X35" s="32"/>
    </row>
    <row r="36" spans="1:26">
      <c r="A36" s="47"/>
      <c r="B36" s="47" t="s">
        <v>55</v>
      </c>
      <c r="C36" s="47" t="s">
        <v>56</v>
      </c>
      <c r="D36" s="47" t="s">
        <v>57</v>
      </c>
      <c r="E36" s="47" t="s">
        <v>58</v>
      </c>
      <c r="F36" s="47" t="s">
        <v>59</v>
      </c>
      <c r="G36" s="47" t="s">
        <v>60</v>
      </c>
      <c r="H36" s="47"/>
      <c r="Q36" s="32"/>
      <c r="R36" s="32"/>
      <c r="S36" s="32"/>
      <c r="T36" s="32"/>
      <c r="U36" s="32"/>
      <c r="V36" s="32"/>
      <c r="W36" s="32"/>
      <c r="X36" s="32"/>
    </row>
    <row r="37" spans="1:26">
      <c r="A37" s="47" t="s">
        <v>49</v>
      </c>
      <c r="B37" s="47">
        <v>0.3</v>
      </c>
      <c r="C37" s="47">
        <v>7.3800000000000004E-2</v>
      </c>
      <c r="D37" s="49">
        <v>0.83774400000000004</v>
      </c>
      <c r="E37" s="47">
        <v>0</v>
      </c>
      <c r="F37" s="47">
        <v>0</v>
      </c>
      <c r="G37" s="50">
        <v>0.3</v>
      </c>
      <c r="H37" s="47"/>
      <c r="Q37" s="32"/>
      <c r="R37" s="32"/>
      <c r="S37" s="32"/>
      <c r="T37" s="32"/>
      <c r="U37" s="32"/>
      <c r="V37" s="32"/>
      <c r="W37" s="32"/>
      <c r="X37" s="32"/>
    </row>
    <row r="38" spans="1:26">
      <c r="A38" s="47" t="s">
        <v>52</v>
      </c>
      <c r="B38" s="47">
        <v>0.3</v>
      </c>
      <c r="C38" s="47">
        <v>0</v>
      </c>
      <c r="D38" s="49">
        <v>0.83756200000000003</v>
      </c>
      <c r="E38" s="47">
        <v>0</v>
      </c>
      <c r="F38" s="47">
        <v>0</v>
      </c>
      <c r="G38" s="50">
        <v>0.1</v>
      </c>
      <c r="H38" s="47"/>
      <c r="Q38" s="39"/>
      <c r="R38" s="39"/>
      <c r="S38" s="39"/>
      <c r="T38" s="32"/>
      <c r="U38" s="32"/>
      <c r="V38" s="32"/>
      <c r="W38" s="32"/>
      <c r="X38" s="32"/>
    </row>
    <row r="39" spans="1:26">
      <c r="B39" s="1"/>
      <c r="C39" s="1"/>
      <c r="D39"/>
      <c r="E39"/>
      <c r="G39"/>
      <c r="H39" s="47"/>
      <c r="Q39" s="34"/>
      <c r="R39" s="34"/>
      <c r="S39" s="34"/>
      <c r="T39" s="34"/>
      <c r="U39" s="32"/>
      <c r="V39" s="32"/>
      <c r="W39" s="32"/>
      <c r="X39" s="36"/>
      <c r="Y39" s="36"/>
      <c r="Z39" s="37"/>
    </row>
    <row r="40" spans="1:26">
      <c r="A40" s="52" t="s">
        <v>100</v>
      </c>
      <c r="B40" s="53"/>
      <c r="C40" s="53"/>
      <c r="D40" s="53"/>
      <c r="E40" s="53"/>
      <c r="F40" s="53"/>
      <c r="G40" s="53"/>
      <c r="H40" s="32"/>
      <c r="Q40" s="34"/>
      <c r="R40" s="34"/>
      <c r="S40" s="34"/>
      <c r="T40" s="34"/>
      <c r="U40" s="32"/>
      <c r="V40" s="32"/>
      <c r="W40" s="32"/>
      <c r="X40" s="36"/>
      <c r="Y40" s="36"/>
      <c r="Z40" s="37"/>
    </row>
    <row r="41" spans="1:26">
      <c r="A41" s="47"/>
      <c r="B41" s="47" t="s">
        <v>55</v>
      </c>
      <c r="C41" s="47" t="s">
        <v>56</v>
      </c>
      <c r="D41" s="47" t="s">
        <v>57</v>
      </c>
      <c r="E41" s="47" t="s">
        <v>58</v>
      </c>
      <c r="F41" s="47" t="s">
        <v>59</v>
      </c>
      <c r="G41" s="47" t="s">
        <v>60</v>
      </c>
      <c r="H41" s="32"/>
      <c r="I41" s="34"/>
      <c r="J41" s="34"/>
      <c r="K41" s="34"/>
      <c r="Q41" s="34"/>
      <c r="R41" s="34"/>
      <c r="S41" s="34"/>
      <c r="T41" s="34"/>
      <c r="U41" s="32"/>
      <c r="V41" s="32"/>
      <c r="W41" s="32"/>
      <c r="X41" s="36"/>
      <c r="Y41" s="36"/>
      <c r="Z41" s="37"/>
    </row>
    <row r="42" spans="1:26">
      <c r="A42" s="47" t="s">
        <v>49</v>
      </c>
      <c r="B42" s="47">
        <v>0.3</v>
      </c>
      <c r="C42" s="47">
        <v>7.3800000000000004E-2</v>
      </c>
      <c r="D42" s="49">
        <v>1.65073</v>
      </c>
      <c r="E42" s="47">
        <v>0</v>
      </c>
      <c r="F42" s="47">
        <v>0</v>
      </c>
      <c r="G42" s="50">
        <v>0.2</v>
      </c>
      <c r="H42"/>
    </row>
    <row r="43" spans="1:26">
      <c r="A43" s="47" t="s">
        <v>52</v>
      </c>
      <c r="B43" s="47">
        <v>0.3</v>
      </c>
      <c r="C43" s="47">
        <v>0</v>
      </c>
      <c r="D43" s="49">
        <v>1.65073</v>
      </c>
      <c r="E43" s="47">
        <v>0</v>
      </c>
      <c r="F43" s="47">
        <v>0</v>
      </c>
      <c r="G43" s="50">
        <v>0.2</v>
      </c>
      <c r="H43"/>
    </row>
  </sheetData>
  <mergeCells count="8">
    <mergeCell ref="A9:B9"/>
    <mergeCell ref="A10:B10"/>
    <mergeCell ref="D2:E2"/>
    <mergeCell ref="D6:R6"/>
    <mergeCell ref="E7:H7"/>
    <mergeCell ref="I7:L7"/>
    <mergeCell ref="N8:O8"/>
    <mergeCell ref="P8:Q8"/>
  </mergeCells>
  <conditionalFormatting sqref="E9:L15">
    <cfRule type="colorScale" priority="1">
      <colorScale>
        <cfvo type="num" val="$J$22"/>
        <cfvo type="num" val="$J$22"/>
        <color theme="0"/>
        <color rgb="FFFF0000"/>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COVER</vt:lpstr>
      <vt:lpstr>IRDIFS</vt:lpstr>
      <vt:lpstr>IRDIFS_EXT</vt:lpstr>
      <vt:lpstr>IRDIS DBI Y23</vt:lpstr>
      <vt:lpstr>IRDIS DBI J23</vt:lpstr>
      <vt:lpstr>IRDIS BY</vt:lpstr>
      <vt:lpstr>IRDIS BJ</vt:lpstr>
      <vt:lpstr>IRDIS BH</vt:lpstr>
      <vt:lpstr>IRDIS BKs</vt:lpstr>
    </vt:vector>
  </TitlesOfParts>
  <Company>INAF Osservatorio Astronomico di Padova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Claudi</dc:creator>
  <cp:lastModifiedBy>Arthur Vigan</cp:lastModifiedBy>
  <dcterms:created xsi:type="dcterms:W3CDTF">2014-10-07T03:49:19Z</dcterms:created>
  <dcterms:modified xsi:type="dcterms:W3CDTF">2015-06-08T21:12:36Z</dcterms:modified>
</cp:coreProperties>
</file>